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120" windowWidth="19320" windowHeight="2700"/>
  </bookViews>
  <sheets>
    <sheet name="Таблица № 1 " sheetId="8" r:id="rId1"/>
  </sheets>
  <definedNames>
    <definedName name="_xlnm._FilterDatabase" localSheetId="0" hidden="1">'Таблица № 1 '!#REF!</definedName>
    <definedName name="_xlnm.Print_Titles" localSheetId="0">'Таблица № 1 '!$2:$5</definedName>
    <definedName name="_xlnm.Print_Area" localSheetId="0">'Таблица № 1 '!$A$1:$AQ$1138</definedName>
  </definedNames>
  <calcPr calcId="145621"/>
</workbook>
</file>

<file path=xl/calcChain.xml><?xml version="1.0" encoding="utf-8"?>
<calcChain xmlns="http://schemas.openxmlformats.org/spreadsheetml/2006/main">
  <c r="AP938" i="8" l="1"/>
  <c r="AP934" i="8"/>
  <c r="AJ938" i="8"/>
  <c r="AJ934" i="8"/>
  <c r="AD938" i="8"/>
  <c r="AD934" i="8"/>
  <c r="AD166" i="8" l="1"/>
  <c r="AH938" i="8"/>
  <c r="AH939" i="8"/>
  <c r="P1105" i="8" l="1"/>
  <c r="V1105" i="8"/>
  <c r="AD1093" i="8"/>
  <c r="AB1105" i="8"/>
  <c r="AB1093" i="8"/>
  <c r="AD1085" i="8"/>
  <c r="AJ932" i="8"/>
  <c r="AH933" i="8"/>
  <c r="AB931" i="8" l="1"/>
  <c r="AB939" i="8" s="1"/>
  <c r="E930" i="8"/>
  <c r="AB1085" i="8"/>
  <c r="AB170" i="8"/>
  <c r="AB166" i="8"/>
  <c r="AD40" i="8"/>
  <c r="AD170" i="8" s="1"/>
  <c r="AB41" i="8"/>
  <c r="AB171" i="8" s="1"/>
  <c r="AD154" i="8" l="1"/>
  <c r="X154" i="8"/>
  <c r="AJ80" i="8" l="1"/>
  <c r="AH81" i="8"/>
  <c r="AB1100" i="8"/>
  <c r="AB1101" i="8" s="1"/>
  <c r="AB1089" i="8"/>
  <c r="AD1088" i="8"/>
  <c r="F926" i="8"/>
  <c r="F928" i="8"/>
  <c r="AD1100" i="8" l="1"/>
  <c r="V939" i="8"/>
  <c r="AJ153" i="8"/>
  <c r="X897" i="8"/>
  <c r="X887" i="8" l="1"/>
  <c r="AB312" i="8" l="1"/>
  <c r="R310" i="8"/>
  <c r="AD906" i="8"/>
  <c r="X157" i="8"/>
  <c r="AJ151" i="8" l="1"/>
  <c r="AJ166" i="8" s="1"/>
  <c r="AH170" i="8"/>
  <c r="AN127" i="8"/>
  <c r="AJ73" i="8" l="1"/>
  <c r="AH171" i="8"/>
  <c r="AP50" i="8"/>
  <c r="AP173" i="8" s="1"/>
  <c r="AP170" i="8" s="1"/>
  <c r="AP166" i="8" s="1"/>
  <c r="AN51" i="8"/>
  <c r="AN128" i="8" l="1"/>
  <c r="AN129" i="8"/>
  <c r="AD1103" i="8" l="1"/>
  <c r="AD1104" i="8" s="1"/>
  <c r="AB1103" i="8"/>
  <c r="AB1104" i="8" s="1"/>
  <c r="X913" i="8"/>
  <c r="X909" i="8"/>
  <c r="AD901" i="8"/>
  <c r="X144" i="8"/>
  <c r="X138" i="8"/>
  <c r="X870" i="8" l="1"/>
  <c r="V196" i="8" l="1"/>
  <c r="X198" i="8" l="1"/>
  <c r="V198" i="8"/>
  <c r="X196" i="8"/>
  <c r="X199" i="8"/>
  <c r="V199" i="8"/>
  <c r="AD963" i="8" l="1"/>
  <c r="AB963" i="8"/>
  <c r="AB961" i="8"/>
  <c r="X964" i="8"/>
  <c r="V964" i="8"/>
  <c r="X867" i="8"/>
  <c r="X938" i="8" l="1"/>
  <c r="X934" i="8"/>
  <c r="V963" i="8" l="1"/>
  <c r="AD964" i="8" l="1"/>
  <c r="AB964" i="8"/>
  <c r="X963" i="8"/>
  <c r="AD961" i="8"/>
  <c r="X961" i="8"/>
  <c r="V961" i="8"/>
  <c r="F144" i="8" l="1"/>
  <c r="F913" i="8"/>
  <c r="AB901" i="8"/>
  <c r="AB906" i="8"/>
  <c r="X114" i="8"/>
  <c r="AB938" i="8" l="1"/>
  <c r="AB934" i="8"/>
  <c r="AD988" i="8"/>
  <c r="AJ193" i="8"/>
  <c r="AJ170" i="8" s="1"/>
  <c r="AD173" i="8" l="1"/>
  <c r="AN130" i="8" l="1"/>
  <c r="AN170" i="8" s="1"/>
  <c r="AH934" i="8"/>
  <c r="AN166" i="8" l="1"/>
  <c r="AB988" i="8"/>
  <c r="V143" i="8" l="1"/>
  <c r="V142" i="8"/>
  <c r="V102" i="8"/>
  <c r="V170" i="8" l="1"/>
  <c r="V166" i="8"/>
  <c r="R75" i="8"/>
  <c r="R875" i="8"/>
  <c r="R493" i="8" l="1"/>
  <c r="R492" i="8"/>
  <c r="P430" i="8" l="1"/>
  <c r="R159" i="8" l="1"/>
  <c r="R157" i="8"/>
  <c r="R879" i="8"/>
  <c r="R867" i="8"/>
  <c r="R759" i="8"/>
  <c r="R558" i="8"/>
  <c r="R490" i="8"/>
  <c r="R430" i="8"/>
  <c r="R420" i="8"/>
  <c r="R306" i="8"/>
  <c r="R222" i="8"/>
  <c r="X104" i="8"/>
  <c r="R104" i="8"/>
  <c r="R9" i="8"/>
  <c r="V891" i="8" l="1"/>
  <c r="X142" i="8" l="1"/>
  <c r="X102" i="8"/>
  <c r="X166" i="8" l="1"/>
  <c r="AB59" i="8"/>
  <c r="AD992" i="8" l="1"/>
  <c r="AD67" i="8"/>
  <c r="V103" i="8"/>
  <c r="V171" i="8" s="1"/>
  <c r="V1103" i="8" l="1"/>
  <c r="V1104" i="8" s="1"/>
  <c r="A142" i="8"/>
  <c r="X1103" i="8" l="1"/>
  <c r="X1104" i="8" s="1"/>
  <c r="R897" i="8"/>
  <c r="R893" i="8" l="1"/>
  <c r="R891" i="8"/>
  <c r="R883" i="8"/>
  <c r="R21" i="8" l="1"/>
  <c r="R666" i="8" l="1"/>
  <c r="X153" i="8" l="1"/>
  <c r="R94" i="8"/>
  <c r="R91" i="8"/>
  <c r="R206" i="8"/>
  <c r="P206" i="8"/>
  <c r="R198" i="8"/>
  <c r="P198" i="8"/>
  <c r="R196" i="8"/>
  <c r="P196" i="8"/>
  <c r="R32" i="8" l="1"/>
  <c r="R199" i="8" l="1"/>
  <c r="P199" i="8"/>
  <c r="R201" i="8"/>
  <c r="P201" i="8"/>
  <c r="R177" i="8"/>
  <c r="P178" i="8"/>
  <c r="P177" i="8"/>
  <c r="R154" i="8" l="1"/>
  <c r="R153" i="8" s="1"/>
  <c r="P963" i="8" l="1"/>
  <c r="V897" i="8" l="1"/>
  <c r="V934" i="8" l="1"/>
  <c r="V938" i="8"/>
  <c r="F879" i="8"/>
  <c r="E879" i="8"/>
  <c r="R858" i="8" l="1"/>
  <c r="R854" i="8"/>
  <c r="R851" i="8"/>
  <c r="R945" i="8"/>
  <c r="R87" i="8"/>
  <c r="R64" i="8"/>
  <c r="R35" i="8"/>
  <c r="X1025" i="8" l="1"/>
  <c r="V1025" i="8"/>
  <c r="X1018" i="8"/>
  <c r="V1018" i="8"/>
  <c r="X1017" i="8"/>
  <c r="V1017" i="8"/>
  <c r="V1015" i="8"/>
  <c r="P964" i="8"/>
  <c r="R964" i="8"/>
  <c r="R962" i="8"/>
  <c r="R1016" i="8" s="1"/>
  <c r="P961" i="8"/>
  <c r="R966" i="8"/>
  <c r="P966" i="8"/>
  <c r="R971" i="8"/>
  <c r="P971" i="8"/>
  <c r="P228" i="8"/>
  <c r="P962" i="8" s="1"/>
  <c r="P1016" i="8" s="1"/>
  <c r="R762" i="8"/>
  <c r="R435" i="8"/>
  <c r="X182" i="8"/>
  <c r="X170" i="8" s="1"/>
  <c r="X173" i="8" s="1"/>
  <c r="R961" i="8"/>
  <c r="R12" i="8"/>
  <c r="AD182" i="8"/>
  <c r="AD1001" i="8" s="1"/>
  <c r="AB992" i="8"/>
  <c r="P939" i="8"/>
  <c r="P171" i="8"/>
  <c r="P9" i="8"/>
  <c r="P12" i="8"/>
  <c r="E75" i="8"/>
  <c r="AN131" i="8"/>
  <c r="AN135" i="8"/>
  <c r="AN988" i="8"/>
  <c r="E128" i="8"/>
  <c r="AH992" i="8"/>
  <c r="L428" i="8"/>
  <c r="L420" i="8" s="1"/>
  <c r="L426" i="8" s="1"/>
  <c r="L9" i="8"/>
  <c r="L169" i="8"/>
  <c r="L174" i="8" s="1"/>
  <c r="L763" i="8"/>
  <c r="L436" i="8"/>
  <c r="L430" i="8" s="1"/>
  <c r="L357" i="8"/>
  <c r="R182" i="8"/>
  <c r="R1001" i="8" s="1"/>
  <c r="F154" i="8"/>
  <c r="L154" i="8"/>
  <c r="L157" i="8" s="1"/>
  <c r="L963" i="8"/>
  <c r="L198" i="8"/>
  <c r="L629" i="8"/>
  <c r="L216" i="8"/>
  <c r="L246" i="8"/>
  <c r="L840" i="8"/>
  <c r="L732" i="8"/>
  <c r="L556" i="8"/>
  <c r="L490" i="8"/>
  <c r="L471" i="8"/>
  <c r="L329" i="8"/>
  <c r="L314" i="8"/>
  <c r="L84" i="8"/>
  <c r="L80" i="8"/>
  <c r="L69" i="8"/>
  <c r="L44" i="8"/>
  <c r="L12" i="8"/>
  <c r="J216" i="8"/>
  <c r="J217" i="8" s="1"/>
  <c r="J44" i="8"/>
  <c r="J45" i="8" s="1"/>
  <c r="J171" i="8" s="1"/>
  <c r="J556" i="8"/>
  <c r="J557" i="8" s="1"/>
  <c r="J554" i="8"/>
  <c r="J555" i="8" s="1"/>
  <c r="J334" i="8"/>
  <c r="AB183" i="8"/>
  <c r="AB1002" i="8" s="1"/>
  <c r="AB182" i="8"/>
  <c r="AB1001" i="8" s="1"/>
  <c r="AD153" i="8"/>
  <c r="X1015" i="8"/>
  <c r="X997" i="8"/>
  <c r="X999" i="8"/>
  <c r="R975" i="8"/>
  <c r="N981" i="8"/>
  <c r="F1086" i="8"/>
  <c r="E1086" i="8"/>
  <c r="L945" i="8"/>
  <c r="L999" i="8" s="1"/>
  <c r="F35" i="8"/>
  <c r="E35" i="8"/>
  <c r="J19" i="8"/>
  <c r="P946" i="8"/>
  <c r="J963" i="8"/>
  <c r="L961" i="8"/>
  <c r="J198" i="8"/>
  <c r="L196" i="8"/>
  <c r="J46" i="8"/>
  <c r="J196" i="8" s="1"/>
  <c r="AP988" i="8"/>
  <c r="J962" i="8"/>
  <c r="J1016" i="8" s="1"/>
  <c r="AO1040" i="8"/>
  <c r="AO1039" i="8"/>
  <c r="AO1038" i="8"/>
  <c r="AO1037" i="8"/>
  <c r="AO1036" i="8"/>
  <c r="AP1035" i="8"/>
  <c r="AO1035" i="8"/>
  <c r="AN1035" i="8"/>
  <c r="AP1034" i="8"/>
  <c r="AO1034" i="8"/>
  <c r="AN1034" i="8"/>
  <c r="AP1033" i="8"/>
  <c r="AO1033" i="8"/>
  <c r="AN1033" i="8"/>
  <c r="AP1032" i="8"/>
  <c r="AO1032" i="8"/>
  <c r="AN1032" i="8"/>
  <c r="AP1031" i="8"/>
  <c r="AO1031" i="8"/>
  <c r="AN1031" i="8"/>
  <c r="AP1030" i="8"/>
  <c r="AO1030" i="8"/>
  <c r="AN1030" i="8"/>
  <c r="AI1040" i="8"/>
  <c r="AI1039" i="8"/>
  <c r="AI1038" i="8"/>
  <c r="AI1037" i="8"/>
  <c r="AI1036" i="8"/>
  <c r="AJ1035" i="8"/>
  <c r="AI1035" i="8"/>
  <c r="AH1035" i="8"/>
  <c r="AJ1034" i="8"/>
  <c r="AI1034" i="8"/>
  <c r="AH1034" i="8"/>
  <c r="AJ1033" i="8"/>
  <c r="AI1033" i="8"/>
  <c r="AH1033" i="8"/>
  <c r="AJ1032" i="8"/>
  <c r="AI1032" i="8"/>
  <c r="AH1032" i="8"/>
  <c r="AJ1031" i="8"/>
  <c r="AI1031" i="8"/>
  <c r="AH1031" i="8"/>
  <c r="AJ1030" i="8"/>
  <c r="AJ1036" i="8"/>
  <c r="AJ1037" i="8"/>
  <c r="AJ1038" i="8"/>
  <c r="AJ1039" i="8"/>
  <c r="AJ1040" i="8"/>
  <c r="AI1030" i="8"/>
  <c r="AH1030" i="8"/>
  <c r="AC1040" i="8"/>
  <c r="AC1039" i="8"/>
  <c r="AC1038" i="8"/>
  <c r="AC1037" i="8"/>
  <c r="AC1036" i="8"/>
  <c r="AD1035" i="8"/>
  <c r="AC1035" i="8"/>
  <c r="AB1035" i="8"/>
  <c r="AD1034" i="8"/>
  <c r="AC1034" i="8"/>
  <c r="AB1034" i="8"/>
  <c r="AD1033" i="8"/>
  <c r="AC1033" i="8"/>
  <c r="AB1033" i="8"/>
  <c r="AD1032" i="8"/>
  <c r="AC1032" i="8"/>
  <c r="AB1032" i="8"/>
  <c r="AD1031" i="8"/>
  <c r="AC1031" i="8"/>
  <c r="AB1031" i="8"/>
  <c r="AD1030" i="8"/>
  <c r="AC1030" i="8"/>
  <c r="AB1030" i="8"/>
  <c r="V1031" i="8"/>
  <c r="W1031" i="8"/>
  <c r="X1031" i="8"/>
  <c r="V1032" i="8"/>
  <c r="W1032" i="8"/>
  <c r="X1032" i="8"/>
  <c r="V1033" i="8"/>
  <c r="W1033" i="8"/>
  <c r="X1033" i="8"/>
  <c r="V1034" i="8"/>
  <c r="W1034" i="8"/>
  <c r="X1034" i="8"/>
  <c r="V1035" i="8"/>
  <c r="W1035" i="8"/>
  <c r="X1035" i="8"/>
  <c r="W1036" i="8"/>
  <c r="W1037" i="8"/>
  <c r="W1038" i="8"/>
  <c r="W1039" i="8"/>
  <c r="W1040" i="8"/>
  <c r="X1030" i="8"/>
  <c r="W1030" i="8"/>
  <c r="V1030" i="8"/>
  <c r="P1031" i="8"/>
  <c r="Q1031" i="8"/>
  <c r="R1031" i="8"/>
  <c r="P1032" i="8"/>
  <c r="Q1032" i="8"/>
  <c r="R1032" i="8"/>
  <c r="P1033" i="8"/>
  <c r="Q1033" i="8"/>
  <c r="R1033" i="8"/>
  <c r="P1034" i="8"/>
  <c r="Q1034" i="8"/>
  <c r="R1034" i="8"/>
  <c r="P1035" i="8"/>
  <c r="Q1035" i="8"/>
  <c r="R1035" i="8"/>
  <c r="Q1036" i="8"/>
  <c r="Q1037" i="8"/>
  <c r="Q1038" i="8"/>
  <c r="Q1039" i="8"/>
  <c r="Q1040" i="8"/>
  <c r="P1030" i="8"/>
  <c r="R1030" i="8"/>
  <c r="R1036" i="8"/>
  <c r="R1037" i="8"/>
  <c r="R1038" i="8"/>
  <c r="R1039" i="8"/>
  <c r="R1040" i="8"/>
  <c r="Q1030" i="8"/>
  <c r="J1031" i="8"/>
  <c r="K1031" i="8"/>
  <c r="L1031" i="8"/>
  <c r="J1032" i="8"/>
  <c r="K1032" i="8"/>
  <c r="L1032" i="8"/>
  <c r="J1033" i="8"/>
  <c r="K1033" i="8"/>
  <c r="L1033" i="8"/>
  <c r="J1034" i="8"/>
  <c r="K1034" i="8"/>
  <c r="L1034" i="8"/>
  <c r="J1035" i="8"/>
  <c r="K1035" i="8"/>
  <c r="L1035" i="8"/>
  <c r="K1036" i="8"/>
  <c r="K1037" i="8"/>
  <c r="K1038" i="8"/>
  <c r="K1039" i="8"/>
  <c r="K1040" i="8"/>
  <c r="K1030" i="8"/>
  <c r="L1030" i="8"/>
  <c r="J1030" i="8"/>
  <c r="P945" i="8"/>
  <c r="J946" i="8"/>
  <c r="J1000" i="8" s="1"/>
  <c r="J945" i="8"/>
  <c r="J999" i="8" s="1"/>
  <c r="AP1027" i="8"/>
  <c r="AN1027" i="8"/>
  <c r="AP1026" i="8"/>
  <c r="AN1026" i="8"/>
  <c r="AP1025" i="8"/>
  <c r="AN1025" i="8"/>
  <c r="AP1024" i="8"/>
  <c r="AN1024" i="8"/>
  <c r="AP1023" i="8"/>
  <c r="AN1023" i="8"/>
  <c r="AP1022" i="8"/>
  <c r="AN1022" i="8"/>
  <c r="AP1021" i="8"/>
  <c r="AN1021" i="8"/>
  <c r="AP1020" i="8"/>
  <c r="AN1020" i="8"/>
  <c r="AP1019" i="8"/>
  <c r="AN1019" i="8"/>
  <c r="AP1018" i="8"/>
  <c r="AN1018" i="8"/>
  <c r="AP1017" i="8"/>
  <c r="AN1017" i="8"/>
  <c r="AP1016" i="8"/>
  <c r="AN1016" i="8"/>
  <c r="AP1015" i="8"/>
  <c r="AN1015" i="8"/>
  <c r="AN1014" i="8"/>
  <c r="AN1013" i="8"/>
  <c r="AP1012" i="8"/>
  <c r="AN1012" i="8"/>
  <c r="AN1011" i="8"/>
  <c r="AN1010" i="8"/>
  <c r="AP1009" i="8"/>
  <c r="AN1009" i="8"/>
  <c r="AN1008" i="8"/>
  <c r="AN1007" i="8"/>
  <c r="AP1006" i="8"/>
  <c r="AN1006" i="8"/>
  <c r="AN1005" i="8"/>
  <c r="AN1004" i="8"/>
  <c r="AP1003" i="8"/>
  <c r="AN1003" i="8"/>
  <c r="AN1002" i="8"/>
  <c r="AP1001" i="8"/>
  <c r="AN1001" i="8"/>
  <c r="AN1000" i="8"/>
  <c r="AP999" i="8"/>
  <c r="AN999" i="8"/>
  <c r="AN998" i="8"/>
  <c r="AP997" i="8"/>
  <c r="AN997" i="8"/>
  <c r="AJ1027" i="8"/>
  <c r="AH1027" i="8"/>
  <c r="AJ1026" i="8"/>
  <c r="AH1026" i="8"/>
  <c r="AJ1025" i="8"/>
  <c r="AH1025" i="8"/>
  <c r="AJ1024" i="8"/>
  <c r="AH1024" i="8"/>
  <c r="AJ1023" i="8"/>
  <c r="AH1023" i="8"/>
  <c r="AJ1022" i="8"/>
  <c r="AH1022" i="8"/>
  <c r="AJ1021" i="8"/>
  <c r="AH1021" i="8"/>
  <c r="AJ1020" i="8"/>
  <c r="AH1020" i="8"/>
  <c r="AJ1019" i="8"/>
  <c r="AH1019" i="8"/>
  <c r="AJ1018" i="8"/>
  <c r="AH1018" i="8"/>
  <c r="AJ1017" i="8"/>
  <c r="AH1017" i="8"/>
  <c r="AJ1016" i="8"/>
  <c r="AH1016" i="8"/>
  <c r="AJ1015" i="8"/>
  <c r="AH1015" i="8"/>
  <c r="AH1014" i="8"/>
  <c r="AH1013" i="8"/>
  <c r="AJ1012" i="8"/>
  <c r="AH1012" i="8"/>
  <c r="AH1011" i="8"/>
  <c r="AH1010" i="8"/>
  <c r="AJ1009" i="8"/>
  <c r="AH1009" i="8"/>
  <c r="AH1008" i="8"/>
  <c r="AH1007" i="8"/>
  <c r="AJ1006" i="8"/>
  <c r="AH1006" i="8"/>
  <c r="AH1005" i="8"/>
  <c r="AH1004" i="8"/>
  <c r="AJ1003" i="8"/>
  <c r="AH1003" i="8"/>
  <c r="AH1002" i="8"/>
  <c r="AJ1001" i="8"/>
  <c r="AH1001" i="8"/>
  <c r="AH1000" i="8"/>
  <c r="AJ999" i="8"/>
  <c r="AH999" i="8"/>
  <c r="AH998" i="8"/>
  <c r="AJ997" i="8"/>
  <c r="AH997" i="8"/>
  <c r="AD1027" i="8"/>
  <c r="AB1027" i="8"/>
  <c r="AD1026" i="8"/>
  <c r="AB1026" i="8"/>
  <c r="AD1025" i="8"/>
  <c r="AB1025" i="8"/>
  <c r="AD1024" i="8"/>
  <c r="AB1024" i="8"/>
  <c r="AD1023" i="8"/>
  <c r="AB1023" i="8"/>
  <c r="AD1022" i="8"/>
  <c r="AB1022" i="8"/>
  <c r="AD1021" i="8"/>
  <c r="AB1021" i="8"/>
  <c r="AD1020" i="8"/>
  <c r="AB1020" i="8"/>
  <c r="AD1019" i="8"/>
  <c r="AB1019" i="8"/>
  <c r="AD1018" i="8"/>
  <c r="AB1018" i="8"/>
  <c r="AD1017" i="8"/>
  <c r="AB1017" i="8"/>
  <c r="AD1016" i="8"/>
  <c r="AB1016" i="8"/>
  <c r="AD1015" i="8"/>
  <c r="AB1015" i="8"/>
  <c r="AB1014" i="8"/>
  <c r="AB1013" i="8"/>
  <c r="AD1012" i="8"/>
  <c r="AB1012" i="8"/>
  <c r="AB1011" i="8"/>
  <c r="AB1010" i="8"/>
  <c r="AD1009" i="8"/>
  <c r="AB1009" i="8"/>
  <c r="AB1008" i="8"/>
  <c r="AB1007" i="8"/>
  <c r="AD1006" i="8"/>
  <c r="AB1006" i="8"/>
  <c r="AB1005" i="8"/>
  <c r="AB1004" i="8"/>
  <c r="AD1003" i="8"/>
  <c r="AB1003" i="8"/>
  <c r="AB1000" i="8"/>
  <c r="AD999" i="8"/>
  <c r="AB999" i="8"/>
  <c r="AB998" i="8"/>
  <c r="AD997" i="8"/>
  <c r="AB997" i="8"/>
  <c r="X1027" i="8"/>
  <c r="V1027" i="8"/>
  <c r="X1026" i="8"/>
  <c r="V1026" i="8"/>
  <c r="X1024" i="8"/>
  <c r="V1024" i="8"/>
  <c r="X1023" i="8"/>
  <c r="V1023" i="8"/>
  <c r="X1022" i="8"/>
  <c r="V1022" i="8"/>
  <c r="X1021" i="8"/>
  <c r="V1021" i="8"/>
  <c r="X1020" i="8"/>
  <c r="V1020" i="8"/>
  <c r="X1019" i="8"/>
  <c r="V1019" i="8"/>
  <c r="X1016" i="8"/>
  <c r="V1016" i="8"/>
  <c r="V1014" i="8"/>
  <c r="V1013" i="8"/>
  <c r="X1012" i="8"/>
  <c r="V1012" i="8"/>
  <c r="V1011" i="8"/>
  <c r="V1010" i="8"/>
  <c r="X1009" i="8"/>
  <c r="V1009" i="8"/>
  <c r="V1008" i="8"/>
  <c r="V1007" i="8"/>
  <c r="X1006" i="8"/>
  <c r="V1006" i="8"/>
  <c r="V1005" i="8"/>
  <c r="V1004" i="8"/>
  <c r="X1003" i="8"/>
  <c r="V1003" i="8"/>
  <c r="V1002" i="8"/>
  <c r="V1001" i="8"/>
  <c r="V1000" i="8"/>
  <c r="V999" i="8"/>
  <c r="V998" i="8"/>
  <c r="V997" i="8"/>
  <c r="R1027" i="8"/>
  <c r="P1027" i="8"/>
  <c r="R1026" i="8"/>
  <c r="P1026" i="8"/>
  <c r="R1024" i="8"/>
  <c r="P1024" i="8"/>
  <c r="R1023" i="8"/>
  <c r="P1023" i="8"/>
  <c r="R1022" i="8"/>
  <c r="P1022" i="8"/>
  <c r="R1021" i="8"/>
  <c r="P1021" i="8"/>
  <c r="R1019" i="8"/>
  <c r="P1019" i="8"/>
  <c r="P1014" i="8"/>
  <c r="P1013" i="8"/>
  <c r="R1012" i="8"/>
  <c r="P1012" i="8"/>
  <c r="P1011" i="8"/>
  <c r="P1010" i="8"/>
  <c r="R1009" i="8"/>
  <c r="P1009" i="8"/>
  <c r="P1008" i="8"/>
  <c r="P1007" i="8"/>
  <c r="R1006" i="8"/>
  <c r="P1006" i="8"/>
  <c r="P1005" i="8"/>
  <c r="P1004" i="8"/>
  <c r="R1003" i="8"/>
  <c r="P1003" i="8"/>
  <c r="P1002" i="8"/>
  <c r="P1001" i="8"/>
  <c r="P998" i="8"/>
  <c r="R997" i="8"/>
  <c r="P997" i="8"/>
  <c r="L1027" i="8"/>
  <c r="L1026" i="8"/>
  <c r="L1025" i="8"/>
  <c r="L1024" i="8"/>
  <c r="L1023" i="8"/>
  <c r="L1022" i="8"/>
  <c r="L1021" i="8"/>
  <c r="L1020" i="8"/>
  <c r="L1019" i="8"/>
  <c r="L1018" i="8"/>
  <c r="L1016" i="8"/>
  <c r="L1012" i="8"/>
  <c r="L1009" i="8"/>
  <c r="L1006" i="8"/>
  <c r="L1003" i="8"/>
  <c r="L997" i="8"/>
  <c r="J997" i="8"/>
  <c r="J998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8" i="8"/>
  <c r="J1019" i="8"/>
  <c r="J1020" i="8"/>
  <c r="J1021" i="8"/>
  <c r="J1022" i="8"/>
  <c r="J1023" i="8"/>
  <c r="J1024" i="8"/>
  <c r="J1025" i="8"/>
  <c r="J1026" i="8"/>
  <c r="J1027" i="8"/>
  <c r="K988" i="8"/>
  <c r="F9" i="8"/>
  <c r="E9" i="8"/>
  <c r="E246" i="8"/>
  <c r="F246" i="8"/>
  <c r="AN986" i="8"/>
  <c r="AN1040" i="8" s="1"/>
  <c r="AN985" i="8"/>
  <c r="AN1039" i="8" s="1"/>
  <c r="AN984" i="8"/>
  <c r="AN1038" i="8" s="1"/>
  <c r="AN983" i="8"/>
  <c r="AN1037" i="8" s="1"/>
  <c r="AN982" i="8"/>
  <c r="AN1036" i="8" s="1"/>
  <c r="AH986" i="8"/>
  <c r="AH1040" i="8" s="1"/>
  <c r="AH985" i="8"/>
  <c r="AH1039" i="8" s="1"/>
  <c r="AH984" i="8"/>
  <c r="AH1038" i="8" s="1"/>
  <c r="AH983" i="8"/>
  <c r="AH1037" i="8" s="1"/>
  <c r="AH982" i="8"/>
  <c r="AH1036" i="8" s="1"/>
  <c r="AB986" i="8"/>
  <c r="AB1040" i="8" s="1"/>
  <c r="AB985" i="8"/>
  <c r="AB1039" i="8" s="1"/>
  <c r="AB984" i="8"/>
  <c r="AB1038" i="8" s="1"/>
  <c r="AB983" i="8"/>
  <c r="AB1037" i="8" s="1"/>
  <c r="AB982" i="8"/>
  <c r="AB1036" i="8" s="1"/>
  <c r="V986" i="8"/>
  <c r="V1040" i="8" s="1"/>
  <c r="V985" i="8"/>
  <c r="V1039" i="8" s="1"/>
  <c r="V984" i="8"/>
  <c r="V1038" i="8" s="1"/>
  <c r="V983" i="8"/>
  <c r="V1037" i="8" s="1"/>
  <c r="V982" i="8"/>
  <c r="V1036" i="8" s="1"/>
  <c r="P986" i="8"/>
  <c r="P1040" i="8" s="1"/>
  <c r="P985" i="8"/>
  <c r="P1039" i="8" s="1"/>
  <c r="P984" i="8"/>
  <c r="P1038" i="8" s="1"/>
  <c r="P983" i="8"/>
  <c r="P1037" i="8" s="1"/>
  <c r="P982" i="8"/>
  <c r="P1036" i="8" s="1"/>
  <c r="J1040" i="8"/>
  <c r="J1039" i="8"/>
  <c r="J1038" i="8"/>
  <c r="J1037" i="8"/>
  <c r="J1036" i="8"/>
  <c r="AP1039" i="8"/>
  <c r="AD1040" i="8"/>
  <c r="AP1036" i="8"/>
  <c r="AP1040" i="8"/>
  <c r="AP1037" i="8"/>
  <c r="AP1038" i="8"/>
  <c r="AD1037" i="8"/>
  <c r="AD1038" i="8"/>
  <c r="AD1039" i="8"/>
  <c r="AD1036" i="8"/>
  <c r="AJ975" i="8"/>
  <c r="AD975" i="8"/>
  <c r="AP975" i="8"/>
  <c r="X1038" i="8"/>
  <c r="X1037" i="8"/>
  <c r="X1040" i="8"/>
  <c r="X1036" i="8"/>
  <c r="X1039" i="8"/>
  <c r="L1040" i="8"/>
  <c r="L1038" i="8"/>
  <c r="L1039" i="8"/>
  <c r="L1036" i="8"/>
  <c r="L1037" i="8"/>
  <c r="L975" i="8"/>
  <c r="X975" i="8"/>
  <c r="F54" i="8"/>
  <c r="E54" i="8"/>
  <c r="F50" i="8"/>
  <c r="E50" i="8"/>
  <c r="F216" i="8"/>
  <c r="E216" i="8"/>
  <c r="J218" i="8"/>
  <c r="J961" i="8" s="1"/>
  <c r="F12" i="8"/>
  <c r="E12" i="8"/>
  <c r="F370" i="8"/>
  <c r="F369" i="8"/>
  <c r="E370" i="8"/>
  <c r="E369" i="8"/>
  <c r="E846" i="8"/>
  <c r="F440" i="8"/>
  <c r="E440" i="8"/>
  <c r="F793" i="8"/>
  <c r="E793" i="8"/>
  <c r="F691" i="8"/>
  <c r="E691" i="8"/>
  <c r="F215" i="8"/>
  <c r="E215" i="8"/>
  <c r="F637" i="8"/>
  <c r="E637" i="8"/>
  <c r="F629" i="8"/>
  <c r="E629" i="8"/>
  <c r="E240" i="8"/>
  <c r="F531" i="8"/>
  <c r="E531" i="8"/>
  <c r="F238" i="8"/>
  <c r="E238" i="8"/>
  <c r="F543" i="8"/>
  <c r="E543" i="8"/>
  <c r="F234" i="8"/>
  <c r="E234" i="8"/>
  <c r="F233" i="8"/>
  <c r="E233" i="8"/>
  <c r="F232" i="8"/>
  <c r="E232" i="8"/>
  <c r="F231" i="8"/>
  <c r="E231" i="8"/>
  <c r="F467" i="8"/>
  <c r="E467" i="8"/>
  <c r="F441" i="8"/>
  <c r="E441" i="8"/>
  <c r="F420" i="8"/>
  <c r="E420" i="8"/>
  <c r="F407" i="8"/>
  <c r="E407" i="8"/>
  <c r="F395" i="8"/>
  <c r="E395" i="8"/>
  <c r="F390" i="8"/>
  <c r="E390" i="8"/>
  <c r="F364" i="8"/>
  <c r="E364" i="8"/>
  <c r="F314" i="8"/>
  <c r="E314" i="8"/>
  <c r="F221" i="8"/>
  <c r="E221" i="8"/>
  <c r="F214" i="8"/>
  <c r="E214" i="8"/>
  <c r="F213" i="8"/>
  <c r="E213" i="8"/>
  <c r="F210" i="8"/>
  <c r="E210" i="8"/>
  <c r="A214" i="8"/>
  <c r="A215" i="8" s="1"/>
  <c r="A219" i="8"/>
  <c r="A220" i="8" s="1"/>
  <c r="A221" i="8" s="1"/>
  <c r="A230" i="8"/>
  <c r="A231" i="8" s="1"/>
  <c r="A232" i="8" s="1"/>
  <c r="A233" i="8" s="1"/>
  <c r="A234" i="8" s="1"/>
  <c r="A237" i="8"/>
  <c r="A238" i="8" s="1"/>
  <c r="A239" i="8" s="1"/>
  <c r="A242" i="8" s="1"/>
  <c r="A245" i="8" s="1"/>
  <c r="A317" i="8"/>
  <c r="A320" i="8"/>
  <c r="A321" i="8" s="1"/>
  <c r="A322" i="8" s="1"/>
  <c r="A323" i="8" s="1"/>
  <c r="A324" i="8" s="1"/>
  <c r="A325" i="8" s="1"/>
  <c r="A336" i="8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51" i="8"/>
  <c r="A352" i="8" s="1"/>
  <c r="A353" i="8" s="1"/>
  <c r="A354" i="8" s="1"/>
  <c r="A355" i="8" s="1"/>
  <c r="A356" i="8" s="1"/>
  <c r="A359" i="8"/>
  <c r="A360" i="8" s="1"/>
  <c r="A361" i="8" s="1"/>
  <c r="A363" i="8" s="1"/>
  <c r="A364" i="8" s="1"/>
  <c r="A365" i="8" s="1"/>
  <c r="A366" i="8" s="1"/>
  <c r="A367" i="8" s="1"/>
  <c r="A368" i="8"/>
  <c r="A369" i="8" s="1"/>
  <c r="A372" i="8"/>
  <c r="A373" i="8" s="1"/>
  <c r="A374" i="8" s="1"/>
  <c r="A375" i="8" s="1"/>
  <c r="A376" i="8" s="1"/>
  <c r="A377" i="8"/>
  <c r="A378" i="8" s="1"/>
  <c r="A379" i="8" s="1"/>
  <c r="A380" i="8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37" i="8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2" i="8" s="1"/>
  <c r="A463" i="8" s="1"/>
  <c r="A466" i="8"/>
  <c r="A467" i="8" s="1"/>
  <c r="A468" i="8" s="1"/>
  <c r="A469" i="8" s="1"/>
  <c r="A470" i="8" s="1"/>
  <c r="A473" i="8"/>
  <c r="A474" i="8" s="1"/>
  <c r="A475" i="8" s="1"/>
  <c r="A476" i="8" s="1"/>
  <c r="A477" i="8" s="1"/>
  <c r="A478" i="8" s="1"/>
  <c r="A479" i="8" s="1"/>
  <c r="A480" i="8" s="1"/>
  <c r="A484" i="8"/>
  <c r="A485" i="8" s="1"/>
  <c r="A488" i="8"/>
  <c r="A489" i="8" s="1"/>
  <c r="A494" i="8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61" i="8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8" i="8" s="1"/>
  <c r="A589" i="8" s="1"/>
  <c r="A590" i="8" s="1"/>
  <c r="A591" i="8" s="1"/>
  <c r="A592" i="8" s="1"/>
  <c r="A593" i="8" s="1"/>
  <c r="A594" i="8" s="1"/>
  <c r="A595" i="8"/>
  <c r="A596" i="8" s="1"/>
  <c r="A599" i="8"/>
  <c r="A600" i="8" s="1"/>
  <c r="A601" i="8" s="1"/>
  <c r="A602" i="8" s="1"/>
  <c r="A605" i="8"/>
  <c r="A606" i="8" s="1"/>
  <c r="A607" i="8" s="1"/>
  <c r="A608" i="8" s="1"/>
  <c r="A609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7" i="8" s="1"/>
  <c r="A628" i="8" s="1"/>
  <c r="A633" i="8"/>
  <c r="A634" i="8" s="1"/>
  <c r="A635" i="8" s="1"/>
  <c r="A636" i="8" s="1"/>
  <c r="A637" i="8" s="1"/>
  <c r="A638" i="8" s="1"/>
  <c r="A639" i="8" s="1"/>
  <c r="A640" i="8" s="1"/>
  <c r="A641" i="8" s="1"/>
  <c r="A642" i="8" s="1"/>
  <c r="A645" i="8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9" i="8" s="1"/>
  <c r="A660" i="8" s="1"/>
  <c r="A661" i="8" s="1"/>
  <c r="A662" i="8" s="1"/>
  <c r="A663" i="8" s="1"/>
  <c r="A664" i="8" s="1"/>
  <c r="A665" i="8" s="1"/>
  <c r="A670" i="8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8" i="8" s="1"/>
  <c r="A689" i="8"/>
  <c r="A690" i="8" s="1"/>
  <c r="A691" i="8" s="1"/>
  <c r="A692" i="8" s="1"/>
  <c r="A693" i="8" s="1"/>
  <c r="A694" i="8"/>
  <c r="A695" i="8"/>
  <c r="A696" i="8" s="1"/>
  <c r="A697" i="8"/>
  <c r="A698" i="8" s="1"/>
  <c r="A699" i="8" s="1"/>
  <c r="A702" i="8"/>
  <c r="A703" i="8" s="1"/>
  <c r="A704" i="8" s="1"/>
  <c r="A705" i="8" s="1"/>
  <c r="A706" i="8" s="1"/>
  <c r="A707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5" i="8"/>
  <c r="A736" i="8" s="1"/>
  <c r="A737" i="8" s="1"/>
  <c r="A738" i="8" s="1"/>
  <c r="A739" i="8" s="1"/>
  <c r="A740" i="8" s="1"/>
  <c r="A746" i="8"/>
  <c r="A747" i="8" s="1"/>
  <c r="A748" i="8" s="1"/>
  <c r="A749" i="8" s="1"/>
  <c r="A750" i="8" s="1"/>
  <c r="A751" i="8" s="1"/>
  <c r="A752" i="8" s="1"/>
  <c r="A753" i="8" s="1"/>
  <c r="A754" i="8" s="1"/>
  <c r="A755" i="8" s="1"/>
  <c r="A757" i="8" s="1"/>
  <c r="A758" i="8" s="1"/>
  <c r="A766" i="8"/>
  <c r="A767" i="8" s="1"/>
  <c r="A768" i="8" s="1"/>
  <c r="A769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1" i="8" s="1"/>
  <c r="A792" i="8"/>
  <c r="A793" i="8" s="1"/>
  <c r="A794" i="8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44" i="8"/>
  <c r="A845" i="8" s="1"/>
  <c r="A846" i="8" s="1"/>
  <c r="AN171" i="8" l="1"/>
  <c r="X992" i="8"/>
  <c r="X988" i="8"/>
  <c r="AH993" i="8"/>
  <c r="AB993" i="8"/>
  <c r="P166" i="8"/>
  <c r="R166" i="8"/>
  <c r="R168" i="8" s="1"/>
  <c r="R170" i="8"/>
  <c r="R173" i="8" s="1"/>
  <c r="P1018" i="8"/>
  <c r="V992" i="8"/>
  <c r="V988" i="8"/>
  <c r="R963" i="8"/>
  <c r="R1017" i="8" s="1"/>
  <c r="R1020" i="8"/>
  <c r="AH166" i="8"/>
  <c r="L153" i="8"/>
  <c r="P934" i="8"/>
  <c r="P938" i="8"/>
  <c r="R428" i="8"/>
  <c r="X1001" i="8"/>
  <c r="P1025" i="8"/>
  <c r="R1018" i="8"/>
  <c r="L937" i="8"/>
  <c r="L942" i="8" s="1"/>
  <c r="P1000" i="8"/>
  <c r="J1017" i="8"/>
  <c r="AP992" i="8"/>
  <c r="AD1029" i="8"/>
  <c r="AJ1029" i="8"/>
  <c r="R425" i="8"/>
  <c r="R1029" i="8"/>
  <c r="L1015" i="8"/>
  <c r="L1017" i="8"/>
  <c r="R934" i="8"/>
  <c r="P1017" i="8"/>
  <c r="P993" i="8"/>
  <c r="L1029" i="8"/>
  <c r="X1029" i="8"/>
  <c r="P999" i="8"/>
  <c r="P1020" i="8"/>
  <c r="J166" i="8"/>
  <c r="J170" i="8" s="1"/>
  <c r="AP1029" i="8"/>
  <c r="L934" i="8"/>
  <c r="L166" i="8"/>
  <c r="L168" i="8" s="1"/>
  <c r="L170" i="8"/>
  <c r="L173" i="8" s="1"/>
  <c r="AN993" i="8"/>
  <c r="R999" i="8"/>
  <c r="R1015" i="8"/>
  <c r="L182" i="8"/>
  <c r="L1001" i="8" s="1"/>
  <c r="L938" i="8"/>
  <c r="R180" i="8"/>
  <c r="P170" i="8"/>
  <c r="R1025" i="8"/>
  <c r="P1015" i="8"/>
  <c r="J939" i="8"/>
  <c r="J993" i="8" s="1"/>
  <c r="J1015" i="8"/>
  <c r="R1103" i="8"/>
  <c r="R1104" i="8" s="1"/>
  <c r="J934" i="8"/>
  <c r="J938" i="8"/>
  <c r="AN992" i="8"/>
  <c r="P1103" i="8"/>
  <c r="P1104" i="8" s="1"/>
  <c r="AJ173" i="8"/>
  <c r="AJ992" i="8"/>
  <c r="AJ988" i="8"/>
  <c r="AH988" i="8" l="1"/>
  <c r="L991" i="8"/>
  <c r="L996" i="8" s="1"/>
  <c r="L941" i="8"/>
  <c r="R938" i="8"/>
  <c r="R992" i="8" s="1"/>
  <c r="P992" i="8"/>
  <c r="V993" i="8"/>
  <c r="J992" i="8"/>
  <c r="R988" i="8"/>
  <c r="L988" i="8"/>
  <c r="L992" i="8"/>
  <c r="L936" i="8"/>
  <c r="L990" i="8" s="1"/>
  <c r="P988" i="8"/>
  <c r="J988" i="8"/>
  <c r="L995" i="8" l="1"/>
</calcChain>
</file>

<file path=xl/sharedStrings.xml><?xml version="1.0" encoding="utf-8"?>
<sst xmlns="http://schemas.openxmlformats.org/spreadsheetml/2006/main" count="4427" uniqueCount="1289">
  <si>
    <t>№</t>
  </si>
  <si>
    <t xml:space="preserve">Стоимость </t>
  </si>
  <si>
    <t>км</t>
  </si>
  <si>
    <t>кв.м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</si>
  <si>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</si>
  <si>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</si>
  <si>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</si>
  <si>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</si>
  <si>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</si>
  <si>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</si>
  <si>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</si>
  <si>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>ремонт тротуаров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</si>
  <si>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</t>
  </si>
  <si>
    <t>Код в СКДФ</t>
  </si>
  <si>
    <t>Идентификатор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</si>
  <si>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</si>
  <si>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</si>
  <si>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</si>
  <si>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</si>
  <si>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</si>
  <si>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</si>
  <si>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</si>
  <si>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</si>
  <si>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</si>
  <si>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</si>
  <si>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</si>
  <si>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</si>
  <si>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</si>
  <si>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</si>
  <si>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</si>
  <si>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</si>
  <si>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</si>
  <si>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</si>
  <si>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установка направляющих устройств</t>
  </si>
  <si>
    <t>Примечания</t>
  </si>
  <si>
    <t>Итого по автомобильным дорогам регионального и межмуниципального значения</t>
  </si>
  <si>
    <t xml:space="preserve">Наименование автомобильной дороги </t>
  </si>
  <si>
    <t>Протяженность и площадь покрытия дороги</t>
  </si>
  <si>
    <t>29 ОП РЗ 29К-008</t>
  </si>
  <si>
    <t>29 ОП РЗ 29К-027</t>
  </si>
  <si>
    <t>29 ОП МЗ 29Н-050</t>
  </si>
  <si>
    <t>29 ОП МЗ 29Н-374</t>
  </si>
  <si>
    <t>29 ОП РЗ 29К-012</t>
  </si>
  <si>
    <t>29 ОП МЗ 29Н-461</t>
  </si>
  <si>
    <t>29 ОП МЗ 29Н-463</t>
  </si>
  <si>
    <t>29 ОП МЗ 29Н-513</t>
  </si>
  <si>
    <t>29 ОП МЗ 29Н-250</t>
  </si>
  <si>
    <t>ремонт</t>
  </si>
  <si>
    <t>Подъезд к ОПХ "Ермолино"</t>
  </si>
  <si>
    <t>М-3 "Украина" - Кочетовка</t>
  </si>
  <si>
    <t>"Федорино - Борисово - Гольтяево"- Семичево</t>
  </si>
  <si>
    <t>"Ермолино - Боровск - Верея" - Рябушки</t>
  </si>
  <si>
    <t>Асеньевское - Колодези</t>
  </si>
  <si>
    <t>Асеньевское - Деревеньки</t>
  </si>
  <si>
    <t>Серединское - Пинашино</t>
  </si>
  <si>
    <t>Подъезд к карьеру Фатеево</t>
  </si>
  <si>
    <t>Кондрово - Никольское</t>
  </si>
  <si>
    <t>Товарково - Рудня</t>
  </si>
  <si>
    <t>Стефаново - Карцово</t>
  </si>
  <si>
    <t>Подъезд к усадьбе Гончаровых</t>
  </si>
  <si>
    <t>Кондрово - Галкино - Острожное - Барсуки</t>
  </si>
  <si>
    <t>"Калуга - Медынь" - Товарково</t>
  </si>
  <si>
    <t>Калуга - Медынь</t>
  </si>
  <si>
    <t>Вязьма - Калуга</t>
  </si>
  <si>
    <t>Чкаловский - Щуплово</t>
  </si>
  <si>
    <t>Галкино - Сени - Дурнево</t>
  </si>
  <si>
    <t>"Вязьма - Калуга" - Кожухово - Чкаловский - Железцово</t>
  </si>
  <si>
    <t>Острожное - Звизжи - Смагино</t>
  </si>
  <si>
    <t>Адамовское - Батуево</t>
  </si>
  <si>
    <t>Поселок Думиничи - деревня Думиничи</t>
  </si>
  <si>
    <t>Брынь - Гульцово</t>
  </si>
  <si>
    <t>Подъезд к селу Чернышено</t>
  </si>
  <si>
    <t>Чернышено - Хотьково</t>
  </si>
  <si>
    <t>Думиничи - Буда</t>
  </si>
  <si>
    <t>Думиничи - Вертное</t>
  </si>
  <si>
    <t>Ульяново - Думиничи</t>
  </si>
  <si>
    <t>М-3 "Украина"- Усты - Палики</t>
  </si>
  <si>
    <t>Которь - Хлуднево - Ряполово</t>
  </si>
  <si>
    <t>Думиничи - Поляки</t>
  </si>
  <si>
    <t>Жиздра - Нижняя Акимовка</t>
  </si>
  <si>
    <t>Студенец - Полюдово</t>
  </si>
  <si>
    <t>Улемец - Кленки</t>
  </si>
  <si>
    <t>"Нижняя Акимовка - Ослинка" - Верхнее Ашково</t>
  </si>
  <si>
    <t>Улемец - Калинино</t>
  </si>
  <si>
    <t>Подъезд к памятнику 1812 года</t>
  </si>
  <si>
    <t>Подъезд к д. Трясь</t>
  </si>
  <si>
    <t>Мятлево - Фатьяново</t>
  </si>
  <si>
    <t>Объездная дорога г. Кирова</t>
  </si>
  <si>
    <t>Подъезд к г. Людиново</t>
  </si>
  <si>
    <t>Подъезд к с. Перемышль</t>
  </si>
  <si>
    <t>"Спас-Деменск - Теплово" - Парфеново</t>
  </si>
  <si>
    <t>Подъезд к г. Сухиничи</t>
  </si>
  <si>
    <t>Подъезд к карьеру "Володино"</t>
  </si>
  <si>
    <t>Полотняный Завод - Товарково</t>
  </si>
  <si>
    <t>Подъезд к АЗС "Полотняный Завод"</t>
  </si>
  <si>
    <t>Окружная автодорога поселка Думиничи</t>
  </si>
  <si>
    <t>Гульцово - Сяглово - Качуково</t>
  </si>
  <si>
    <t>Людиново - Жиздра - М-3 "Украина"</t>
  </si>
  <si>
    <t>Подъезд к совхозу "Коллективизатор"</t>
  </si>
  <si>
    <t>Бабынино - Воротынск - поворот Росва</t>
  </si>
  <si>
    <t>М-3 "Украина" - Перемышль</t>
  </si>
  <si>
    <t>Малоярославец - Боровск</t>
  </si>
  <si>
    <t>М-3 "Украина" - поселок Думиничи - станция Думиничи</t>
  </si>
  <si>
    <t>Белоусово - Высокиничи - Серпухов</t>
  </si>
  <si>
    <t>А-130 "Москва - Малоярославец - Рославль" - Дороховая - Износки</t>
  </si>
  <si>
    <t>Киров - Бетлица</t>
  </si>
  <si>
    <t>Р-92 "Калуга - Перемышль - Белев - Орел" - Козельск</t>
  </si>
  <si>
    <t>Козельск - Ульяново - Дудоровский - Хвастовичи</t>
  </si>
  <si>
    <t>Козельск - Сухиничи - М-3 "Украина"</t>
  </si>
  <si>
    <t>Окружная дорога г. Калуги - Детчино - Малоярославец</t>
  </si>
  <si>
    <t>Верея - Медынь</t>
  </si>
  <si>
    <t>А-130 "Москва - Малоярославец - Рославль" - Мосальск - Мещовск</t>
  </si>
  <si>
    <t>Мещовск - Кудринская</t>
  </si>
  <si>
    <t>Голодское - Суворов - Одоев</t>
  </si>
  <si>
    <t>А-130 "Москва - Малоярославец - Рославль" - Спас-Деменск - Ельня - Починок</t>
  </si>
  <si>
    <t>Калуга - Ферзиково - Таруса - Серпухов</t>
  </si>
  <si>
    <t>29 ОП РЗ 29К-001</t>
  </si>
  <si>
    <t>29 ОП РЗ 29К-002</t>
  </si>
  <si>
    <t>29 ОП РЗ 29К-003</t>
  </si>
  <si>
    <t>29 ОП РЗ 29К-004</t>
  </si>
  <si>
    <t>29 ОП РЗ 29К-005</t>
  </si>
  <si>
    <t>29 ОП РЗ 29К-006</t>
  </si>
  <si>
    <t>29 ОП РЗ 29К-007</t>
  </si>
  <si>
    <t>29 ОП РЗ 29К-009</t>
  </si>
  <si>
    <t>29 ОП РЗ 29К-010</t>
  </si>
  <si>
    <t>29 ОП РЗ 29К-011</t>
  </si>
  <si>
    <t>29 ОП РЗ 29К-013</t>
  </si>
  <si>
    <t>29 ОП РЗ 29К-014</t>
  </si>
  <si>
    <t>29 ОП РЗ 29К-015</t>
  </si>
  <si>
    <t>29 ОП РЗ 29К-016</t>
  </si>
  <si>
    <t>29 ОП РЗ 29К-017</t>
  </si>
  <si>
    <t>29 ОП РЗ 29К-018</t>
  </si>
  <si>
    <t>29 ОП РЗ 29К-020</t>
  </si>
  <si>
    <t>40 ОП РЗ 29К-021</t>
  </si>
  <si>
    <t>29 ОП РЗ 29К-022</t>
  </si>
  <si>
    <t>29 ОП РЗ 29К-023</t>
  </si>
  <si>
    <t>29 ОП РЗ 29К-024</t>
  </si>
  <si>
    <t>29 ОП РЗ 29К-025</t>
  </si>
  <si>
    <t>29 ОП РЗ 29К-026</t>
  </si>
  <si>
    <t>Бабынино - Сабуровщино - Газопровод</t>
  </si>
  <si>
    <t>М-3 "Украина" - Перемышль" - Опытная станция</t>
  </si>
  <si>
    <t>Боровск - Федорино - "Верея - Медынь"</t>
  </si>
  <si>
    <t>Объездная дорога г. Балабаново</t>
  </si>
  <si>
    <t>А-108 "Московское большое кольцо" - Лапшинка</t>
  </si>
  <si>
    <t>А-108 "Московское большое кольцо" - Митяево</t>
  </si>
  <si>
    <t>Боровск - Комлево - Фатеево</t>
  </si>
  <si>
    <t>Лапшинка - Кабицыно</t>
  </si>
  <si>
    <t>Медовники - Горки</t>
  </si>
  <si>
    <t>М-3 "Украина" - Добрино - Аристово</t>
  </si>
  <si>
    <t>А-108 "Московское большое кольцо" - Лучны - Рязанцево - "Ермолино - Боровск - Верея"</t>
  </si>
  <si>
    <t>А-108 "Московское большое кольцо" - Куприно - Козельское</t>
  </si>
  <si>
    <t>А-108 "Московское большое кольцо" - Редькино</t>
  </si>
  <si>
    <t>Асеньевское - Тюнино - Жилетово - Отяково</t>
  </si>
  <si>
    <t>М-3 "Украина" - ЕЛИП</t>
  </si>
  <si>
    <t>М-3 "Украина" - станция Тихонова Пустынь</t>
  </si>
  <si>
    <t>А-130 "Москва - Малоярославец - Рославль" - Барсуки</t>
  </si>
  <si>
    <t>Рудня - Дурнево</t>
  </si>
  <si>
    <t>Калуга - Медынь - Желтыкино - Карцово</t>
  </si>
  <si>
    <t>М-3 "Украина" - село Учхоз - Староскаковское</t>
  </si>
  <si>
    <t>Подъезд к Полотняно-Заводскому сельсовету</t>
  </si>
  <si>
    <t>Звизжи - Субботино - Потапово - Дубрава - Покров</t>
  </si>
  <si>
    <t>29 ОП МЗ 29Н-001</t>
  </si>
  <si>
    <t>29 ОП МЗ 29Н-006</t>
  </si>
  <si>
    <t>29 ОП МЗ 29Н-016</t>
  </si>
  <si>
    <t>29 ОП МЗ 29Н-051</t>
  </si>
  <si>
    <t>29 ОП МЗ 29Н-053</t>
  </si>
  <si>
    <t>29 ОП МЗ 29Н-054</t>
  </si>
  <si>
    <t>29 ОП МЗ 29Н-055</t>
  </si>
  <si>
    <t>29 ОП МЗ 29Н-056</t>
  </si>
  <si>
    <t>29 ОП МЗ 29Н-057</t>
  </si>
  <si>
    <t>29 ОП МЗ 29Н-058</t>
  </si>
  <si>
    <t>29 ОП МЗ 29Н-059</t>
  </si>
  <si>
    <t>29 ОП МЗ 29Н-060</t>
  </si>
  <si>
    <t>29 ОП МЗ 29Н-061</t>
  </si>
  <si>
    <t>29 ОП МЗ 29Н-062</t>
  </si>
  <si>
    <t>29 ОП МЗ 29Н-063</t>
  </si>
  <si>
    <t>29 ОП МЗ 29Н-064</t>
  </si>
  <si>
    <t>29 ОП МЗ 29Н-065</t>
  </si>
  <si>
    <t>29 ОП МЗ 29Н-066</t>
  </si>
  <si>
    <t>29 ОП МЗ 29Н-067</t>
  </si>
  <si>
    <t>29 ОП МЗ 29Н-068</t>
  </si>
  <si>
    <t>29 ОП МЗ 29Н-069</t>
  </si>
  <si>
    <t>29 ОП МЗ 29Н-070</t>
  </si>
  <si>
    <t>29 ОП МЗ 29Н-071</t>
  </si>
  <si>
    <t>29 ОП МЗ 29Н-072</t>
  </si>
  <si>
    <t>29 ОП МЗ 29Н-073</t>
  </si>
  <si>
    <t>29 ОП МЗ 29Н-074</t>
  </si>
  <si>
    <t>29 ОП МЗ 29Н-075</t>
  </si>
  <si>
    <t>29 ОП МЗ 29Н-076</t>
  </si>
  <si>
    <t>29 ОП МЗ 29Н-077</t>
  </si>
  <si>
    <t>29 ОП МЗ 29Н-078</t>
  </si>
  <si>
    <t>29 ОП МЗ 29Н-079</t>
  </si>
  <si>
    <t>29 ОП МЗ 29Н-080</t>
  </si>
  <si>
    <t>29 ОП МЗ 29Н-081</t>
  </si>
  <si>
    <t>29 ОП МЗ 29Н-082</t>
  </si>
  <si>
    <t>29 ОП МЗ 29Н-083</t>
  </si>
  <si>
    <t>29 ОП МЗ 29Н-084</t>
  </si>
  <si>
    <t>29 ОП МЗ 29Н-085</t>
  </si>
  <si>
    <t>29 ОП МЗ 29Н-086</t>
  </si>
  <si>
    <t>29 ОП МЗ 29Н-087</t>
  </si>
  <si>
    <t>29 ОП МЗ 29Н-088</t>
  </si>
  <si>
    <t>29 ОП МЗ 29Н-089</t>
  </si>
  <si>
    <t>29 ОП МЗ 29Н-090</t>
  </si>
  <si>
    <t>29 ОП МЗ 29Н-091</t>
  </si>
  <si>
    <t>29 ОП МЗ 29Н-092</t>
  </si>
  <si>
    <t>29 ОП МЗ 29Н-093</t>
  </si>
  <si>
    <t>29 ОП МЗ 29Н-094</t>
  </si>
  <si>
    <t>29 ОП МЗ 29Н-095</t>
  </si>
  <si>
    <t>29 ОП МЗ 29Н-096</t>
  </si>
  <si>
    <t>29 ОП МЗ 29Н-097</t>
  </si>
  <si>
    <t>29 ОП МЗ 29Н-098</t>
  </si>
  <si>
    <t>29 ОП МЗ 29Н-099</t>
  </si>
  <si>
    <t>29 ОП МЗ 29Н-100</t>
  </si>
  <si>
    <t>29 ОП МЗ 29Н-101</t>
  </si>
  <si>
    <t>29 ОП МЗ 29Н-102</t>
  </si>
  <si>
    <t>29 ОП МЗ 29Н-103</t>
  </si>
  <si>
    <t>29 ОП МЗ 29Н-104</t>
  </si>
  <si>
    <t>29 ОП МЗ 29Н-105</t>
  </si>
  <si>
    <t>29 ОП МЗ 29Н-106</t>
  </si>
  <si>
    <t>29 ОП МЗ 29Н-107</t>
  </si>
  <si>
    <t>29 ОП МЗ 29Н-108</t>
  </si>
  <si>
    <t>29 ОП МЗ 29Н-109</t>
  </si>
  <si>
    <t>29 ОП МЗ 29Н-110</t>
  </si>
  <si>
    <t>29 ОП МЗ 29Н-111</t>
  </si>
  <si>
    <t>29 ОП МЗ 29Н-112</t>
  </si>
  <si>
    <t>М-3 "Украина" - Брынь - Зимницы - Новослободск</t>
  </si>
  <si>
    <t>М-3 "Украина" - Брынь - Зимницы - Новослободск" - Которь</t>
  </si>
  <si>
    <t>М-3 "Украина" - Новослободск</t>
  </si>
  <si>
    <t>М-3 "Украина" - Новослободск" - Высокое</t>
  </si>
  <si>
    <t>Людиново - Букань - Новослободск</t>
  </si>
  <si>
    <t>М-3 "Украина" - Пыренка - Широковка</t>
  </si>
  <si>
    <t>М-3 "Украина" - "Брынь - Зимницы - Новослободск" - Семичастное</t>
  </si>
  <si>
    <t>М-3 "Украина" - Плоцкое</t>
  </si>
  <si>
    <t>М-3 "Украина" - Пузановка</t>
  </si>
  <si>
    <t>М-3 "Украина" - Судимир - Хвастовичи - Теребень</t>
  </si>
  <si>
    <t>М-3 "Украина" - Зикеево - Студенец</t>
  </si>
  <si>
    <t>М-3 "Украина" - Полом - Жиздра</t>
  </si>
  <si>
    <t>М-3 "Украина" - Судимир - Хвастовичи - Теребень" - Ловать</t>
  </si>
  <si>
    <t>М-3 "Украина" - Авдеевка - Пеневичи - Хвастовичи</t>
  </si>
  <si>
    <t>М-3 "Украина" - Огорь</t>
  </si>
  <si>
    <t>Жиздра - совхоз "Коллективизатор"</t>
  </si>
  <si>
    <t>М-3 "Украина" - Зикеево - Студенец - Фомин</t>
  </si>
  <si>
    <t>Нижняя Акимовка - Ослинка</t>
  </si>
  <si>
    <t>М-3 "Украина" - Березовка</t>
  </si>
  <si>
    <t>М-3 "Украина" - Улемец - Павловка</t>
  </si>
  <si>
    <t>М-3 "Украина" - Улемец</t>
  </si>
  <si>
    <t>М-3 "Украина" - Авдеевка - Орля</t>
  </si>
  <si>
    <t>М-3 "Украина" - Судимир - Хвастовичи - Теребень" - Озерская</t>
  </si>
  <si>
    <t>Совхоз "Коллективизатор" - Коренево</t>
  </si>
  <si>
    <t>М-3 "Украина" - Судимир - Хвастовичи - Теребень" - Ловать"- Белый Колодец</t>
  </si>
  <si>
    <t>Огорь - Гололобовка</t>
  </si>
  <si>
    <t>М-3 "Украина" - А-130 "Москва - Малоярославец - Рославль"</t>
  </si>
  <si>
    <t>А-130 "Москва - Малоярославец - Рославль" - Воробьи - Победа</t>
  </si>
  <si>
    <t>Памятник 1812 года - Тарутино - Корсаково</t>
  </si>
  <si>
    <t>А-108 "Московское большое кольцо" - Курилово</t>
  </si>
  <si>
    <t>А-108 "Московское большое кольцо" - Грачевка</t>
  </si>
  <si>
    <t>А-108 "Московское большое кольцо" - Истье</t>
  </si>
  <si>
    <t>Протва - Любицы</t>
  </si>
  <si>
    <t>Жуков - мкрн. Протва</t>
  </si>
  <si>
    <t>Караулово - Тиньково</t>
  </si>
  <si>
    <t>Кременки - Екатериновка</t>
  </si>
  <si>
    <t>А-130 "Москва - Малоярославец - Рославль" - Мятлево</t>
  </si>
  <si>
    <t>Износки - Извольск</t>
  </si>
  <si>
    <t>Сигово - Хвощи</t>
  </si>
  <si>
    <t>А-130 "Москва - Малоярославец - Рославль" - Алексеевка - Кошняки - Дороховая</t>
  </si>
  <si>
    <t>Шанский Завод - Гиреево</t>
  </si>
  <si>
    <t>Износки - Шанский Завод - Михали</t>
  </si>
  <si>
    <t>Износки - Ореховня</t>
  </si>
  <si>
    <t>Износки - Ивановское</t>
  </si>
  <si>
    <t>Подъезд к селу Шанский Завод</t>
  </si>
  <si>
    <t>Алешня - Шатрищи</t>
  </si>
  <si>
    <t>А-130 "Москва - Малоярославец - Рославль" - Айдарово</t>
  </si>
  <si>
    <t>Волынцы - Семеновское</t>
  </si>
  <si>
    <t>Ивановское - Савино</t>
  </si>
  <si>
    <t>А-130 "Москва - Малоярославец - Рославль" - Пушкино</t>
  </si>
  <si>
    <t>Мятлево - Подъезд к складам МРТБ</t>
  </si>
  <si>
    <t>Мятлево - Городенки</t>
  </si>
  <si>
    <t>Киров - Бережки - Фоминичи</t>
  </si>
  <si>
    <t>Киров - Малая Песочня</t>
  </si>
  <si>
    <t>Киров - Верхняя Песочня - Тягаево</t>
  </si>
  <si>
    <t>Бережки - Тешевичи</t>
  </si>
  <si>
    <t>Фоминичи - Новоселки - Малые Зимницы</t>
  </si>
  <si>
    <t>Фоминичи - Неполоть</t>
  </si>
  <si>
    <t>Малая Песочня - Малые Желтоухи</t>
  </si>
  <si>
    <t>Тягаево - Синьгово</t>
  </si>
  <si>
    <t>Новоселки - Винозаводчик</t>
  </si>
  <si>
    <t>Выползово - Анисово Городище</t>
  </si>
  <si>
    <t>Верхняя Песочня - Анновка</t>
  </si>
  <si>
    <t>Дуброво - Ближнее Натарово</t>
  </si>
  <si>
    <t>Гавриловка - Большое Заборье</t>
  </si>
  <si>
    <t>Малые Зимницы - Пробуждение - Ряполово</t>
  </si>
  <si>
    <t>Оптина Пустынь - Нижние Прыски</t>
  </si>
  <si>
    <t>Козельск - Кудринская</t>
  </si>
  <si>
    <t>Козельск - Попелево</t>
  </si>
  <si>
    <t>Козельск - Киреевское - Чернышено</t>
  </si>
  <si>
    <t>Козельск - Покровск</t>
  </si>
  <si>
    <t>Каменка - Шамордино</t>
  </si>
  <si>
    <t>Козельск - Березичский Стеклозавод</t>
  </si>
  <si>
    <t>АДНП 249(Кз) 318/10 - пл. 6-0 в/ч 95855</t>
  </si>
  <si>
    <t>Плюсково - Антипово - Ильинское</t>
  </si>
  <si>
    <t>Чернышено - Побуж</t>
  </si>
  <si>
    <t>Р-92 "Калуга - Перемышль - Белев - Орел" - Козельск - Акатово - Курыничи</t>
  </si>
  <si>
    <t>Юдинка - Кузьменки - Редьково</t>
  </si>
  <si>
    <t>Попелево - Потросово</t>
  </si>
  <si>
    <t>А-130 "Москва - Малоярославец - Рославль" - Козловка - Ямное - Мокрое - Бетлица</t>
  </si>
  <si>
    <t>Бетлица - Высокое - мемориальный комплекс "Безымянная Высота"</t>
  </si>
  <si>
    <t>Бетлица - Ветьмица - Бутчино</t>
  </si>
  <si>
    <t>Козловка - Троицкое</t>
  </si>
  <si>
    <t>Ветьмица - Раменное</t>
  </si>
  <si>
    <t>Жерелево - Желны</t>
  </si>
  <si>
    <t>Бетлица - Садовище - Хатожа</t>
  </si>
  <si>
    <t>Бутчино - Гуличи - граница Брянской области</t>
  </si>
  <si>
    <t>Мокрое - Закрутое</t>
  </si>
  <si>
    <t>Бетлица - Высокое - мемориальный комплекс "Безымянная Высота" - Грибовка - Мокрое</t>
  </si>
  <si>
    <t>Ямное - Суборово</t>
  </si>
  <si>
    <t>Мемориальный комплекс "Безымянная Высота" - Мамоновка - Бестань</t>
  </si>
  <si>
    <t>Суборово - Закрутое</t>
  </si>
  <si>
    <t>Людиново - Игнатовка</t>
  </si>
  <si>
    <t>Игнатовка - Носовка</t>
  </si>
  <si>
    <t>Игнатовка - Космачево - Печки</t>
  </si>
  <si>
    <t>Заболотье - Черный Поток</t>
  </si>
  <si>
    <t>Голосиловка - Куява</t>
  </si>
  <si>
    <t>Носовка - Верзебнево</t>
  </si>
  <si>
    <t>Мостовой переход на автодороге "Брянск - Людиново - Киров" - А-130 "Москва - Малоярославец - Рославль" - Березовка</t>
  </si>
  <si>
    <t>А-130 "Москва - Малоярославец - Рославль" - Спас-Загорье - М-3 "Украина"</t>
  </si>
  <si>
    <t>Малоярославец - Маклино - Недельное</t>
  </si>
  <si>
    <t>Окружная дорога г. Калуги - Детчино - Малоярославец - Детчино - Прудки - Захарово</t>
  </si>
  <si>
    <t>М-3 "Украина" - Торбеево - Митинка</t>
  </si>
  <si>
    <t>М-3 "Украина" - Максимовка - Подполково</t>
  </si>
  <si>
    <t>А-130 "Москва - Малоярославец - Рославль" - Игнатьевское</t>
  </si>
  <si>
    <t>М-3 "Украина" - Митинка</t>
  </si>
  <si>
    <t>А-130 "Москва - Малоярославец - Рославль" - Игнатьевское" - Алехново</t>
  </si>
  <si>
    <t>Недельное - Новинка</t>
  </si>
  <si>
    <t>Березовка - Бабичево</t>
  </si>
  <si>
    <t>Коллонтай - Карпово</t>
  </si>
  <si>
    <t>Воробьево - склад ГСМ</t>
  </si>
  <si>
    <t>Дубровка - ПМЦ "Златоуст"</t>
  </si>
  <si>
    <t>Недельное - Казариново - Севрюково</t>
  </si>
  <si>
    <t>М-3 "Украина" - Мокрище - Нижние Горки</t>
  </si>
  <si>
    <t>Медынь - Гусево - Гиреево</t>
  </si>
  <si>
    <t>А-130 "Москва - Малоярославец - Рославль" - Михальчуково</t>
  </si>
  <si>
    <t>А-130 "Москва - Малоярославец - Рославль" - Романово</t>
  </si>
  <si>
    <t>А-130 "Москва - Малоярославец - Рославль" - Адуево</t>
  </si>
  <si>
    <t>А-130 "Москва - Малоярославец - Рославль" - Радюкино</t>
  </si>
  <si>
    <t>Дошино - Елешня</t>
  </si>
  <si>
    <t>А-130 "Москва - Малоярославец - Рославль" - Логачево</t>
  </si>
  <si>
    <t>Романово - Обухово</t>
  </si>
  <si>
    <t>Воскресенки - Тихоновка - Макарцево - Насоново</t>
  </si>
  <si>
    <t>Тихоновка - Каляево</t>
  </si>
  <si>
    <t>Михальчуково - Корнеево</t>
  </si>
  <si>
    <t>Гусево - Петровск</t>
  </si>
  <si>
    <t>Мещовск - Серпейск</t>
  </si>
  <si>
    <t>Мещовск - Алешино - Гаврики</t>
  </si>
  <si>
    <t>М-3 "Украина" - Шлиппово - Соболевка - Дабужа</t>
  </si>
  <si>
    <t>Мещовск - Молодежный - М-3 "Украина"</t>
  </si>
  <si>
    <t>М-3 "Украина" - Баранцево</t>
  </si>
  <si>
    <t>Карцево - Збуново</t>
  </si>
  <si>
    <t>М-3 "Украина" - Домашовка</t>
  </si>
  <si>
    <t>Мещовск - Покров - Казаковка</t>
  </si>
  <si>
    <t>Торкотино - Местничи</t>
  </si>
  <si>
    <t>Серпейск - Терпилово - Тиханово</t>
  </si>
  <si>
    <t>Мещовск - Еропкино</t>
  </si>
  <si>
    <t>Гаврики - Подкопаево</t>
  </si>
  <si>
    <t>М-3 "Украина" - Каменка</t>
  </si>
  <si>
    <t>М-3 "Украина" - Серенск - Костинка - "Мещовск - Кудринская"</t>
  </si>
  <si>
    <t>Алешино - Савинки</t>
  </si>
  <si>
    <t>Гаврики - Тюфинь</t>
  </si>
  <si>
    <t>Зюзино - Посконь</t>
  </si>
  <si>
    <t>Чертень - Путогино</t>
  </si>
  <si>
    <t>Мосальск - Чертень</t>
  </si>
  <si>
    <t>Мосальск - Дашино</t>
  </si>
  <si>
    <t>А-130 "Москва - Малоярославец - Рославль" - Мосальск - Мещовск" - Раменский</t>
  </si>
  <si>
    <t>А-130 "Москва - Малоярославец - Рославль" - Мосальск - Мещовск" - Савино</t>
  </si>
  <si>
    <t>Подъезд к Рамено от автодороги А-130 "Москва - Малоярославец - Рославль"</t>
  </si>
  <si>
    <t>Харинки - Сельцо - Кольцово - Хотибино - Савино</t>
  </si>
  <si>
    <t>А-130 "Москва - Малоярославец - Рославль" - Батищево - Захарино - Семенково</t>
  </si>
  <si>
    <t>Зюзино - Никиткино</t>
  </si>
  <si>
    <t>А-130 "Москва - Малоярославец - Рославль" - Батищево</t>
  </si>
  <si>
    <t>Чертень - Ленск</t>
  </si>
  <si>
    <t>Людково - Астапово</t>
  </si>
  <si>
    <t>А-130 "Москва - Малоярославец - Рославль" - Мосальск - Мещовск - Передовик</t>
  </si>
  <si>
    <t>А-130 "Москва - Малоярославец - Рославль" - Новая Роща - Дубровка</t>
  </si>
  <si>
    <t>А-130 "Москва - Малоярославец - Рославль" - Калуговский</t>
  </si>
  <si>
    <t>Савино - Родня</t>
  </si>
  <si>
    <t>А-130 "Москва - Малоярославец - Рославль" - Рамено - Тиханово</t>
  </si>
  <si>
    <t>Людково - Лесутино</t>
  </si>
  <si>
    <t>Ленск - Гулино - Прудищи</t>
  </si>
  <si>
    <t>Гороховка - Большие Крутицы</t>
  </si>
  <si>
    <t>Р-132 "Калуга - Тула - Михайлов - Рязань" - Хотисино</t>
  </si>
  <si>
    <t>Р-132 "Калуга - Тула - Михайлов - Рязань" - Песочня</t>
  </si>
  <si>
    <t>Р-132 "Калуга - Тула - Михайлов - Рязань" - Макарово</t>
  </si>
  <si>
    <t>Р-132 "Калуга - Тула - Михайлов - Рязань" - Ахлебинино</t>
  </si>
  <si>
    <t>Р-132 "Калуга - Тула - Михайлов - Рязань" - Большие Козлы</t>
  </si>
  <si>
    <t>Р-132 "Калуга - Тула - Михайлов - Рязань" - Никольское</t>
  </si>
  <si>
    <t>Р-132 "Калуга - Тула - Михайлов - Рязань" - Средняя Фабрика</t>
  </si>
  <si>
    <t>Большие Козлы - Мужачи - Морозовы Дворы</t>
  </si>
  <si>
    <t>Р-92 "Калуга - Перемышль - Белев - Орел" - Ильинское - Вялицы</t>
  </si>
  <si>
    <t>Григоровское - Крутые Верхи</t>
  </si>
  <si>
    <t>Опытная Станция - Заборовка</t>
  </si>
  <si>
    <t>Р-92 "Калуга - Перемышль - Белев - Орел" - Козельск - Комсино</t>
  </si>
  <si>
    <t>Р-92 "Калуга - Перемышль - Белев - Орел" - Козельск - Верхнее Алопово</t>
  </si>
  <si>
    <t>А-130 "Москва - Малоярославец - Рославль" - Любунь - Снопот</t>
  </si>
  <si>
    <t>А-130 "Москва - Малоярославец - Рославль" - Чипляево</t>
  </si>
  <si>
    <t>А-130 "Москва - Малоярославец - Рославль" - Спас-Деменск - Ельня - Починок" - Павлиново</t>
  </si>
  <si>
    <t>А-130 "Москва - Малоярославец - Рославль" - Стайки</t>
  </si>
  <si>
    <t>Спас-Деменск - Теплово</t>
  </si>
  <si>
    <t>А-130 "Москва - Малоярославец - Рославль" - Песочня</t>
  </si>
  <si>
    <t>Стайки - Алфимово - Давыдово</t>
  </si>
  <si>
    <t>Снопот - Иловец</t>
  </si>
  <si>
    <t>Стаи - Ивановка - Любунь</t>
  </si>
  <si>
    <t>Стайки - Асташово</t>
  </si>
  <si>
    <t>Павлиново - Жданово</t>
  </si>
  <si>
    <t>Понизовье - Земцы</t>
  </si>
  <si>
    <t>Наумово - Старинки</t>
  </si>
  <si>
    <t>Прилуки - Холмовая</t>
  </si>
  <si>
    <t>Пятницкое - Холмовая - Радки - Павлиново</t>
  </si>
  <si>
    <t>Лазинки - Мышково</t>
  </si>
  <si>
    <t>Снопот - Потапово</t>
  </si>
  <si>
    <t>М-3 "Украина" - Юрьево - Хотень - Костино</t>
  </si>
  <si>
    <t>М-3 "Украина" - Глазково</t>
  </si>
  <si>
    <t>М-3 "Украина" - Брынь</t>
  </si>
  <si>
    <t>Стрельна - Фролово</t>
  </si>
  <si>
    <t>Середейский - Ермолово - Цеповая</t>
  </si>
  <si>
    <t>Сухиничи - Верховая</t>
  </si>
  <si>
    <t>Подъезд к Субботникам от автодороги "Стрельна - Фролово"</t>
  </si>
  <si>
    <t>М-3 "Украина" - Попково</t>
  </si>
  <si>
    <t>Богдановы Колодези - Алешинка</t>
  </si>
  <si>
    <t>Шлиппово - Уруга</t>
  </si>
  <si>
    <t>Радождево - Усты</t>
  </si>
  <si>
    <t>Шлиппово - Клевенево</t>
  </si>
  <si>
    <t>Волково - Жданово</t>
  </si>
  <si>
    <t>Сухиничи - Воронеты</t>
  </si>
  <si>
    <t>Калуга - Ферзиково - Таруса - Серпухов - пансионат "Березовая Роща"</t>
  </si>
  <si>
    <t>Таруса - Лопатино - Барятино - Роща</t>
  </si>
  <si>
    <t>Волковское - Некрасово</t>
  </si>
  <si>
    <t>Вознесенье - Парсуково</t>
  </si>
  <si>
    <t>Подъезд к ДРСУ в г. Тарусе</t>
  </si>
  <si>
    <t>Ульяново - Брежнево</t>
  </si>
  <si>
    <t>Ульяново - Крапивна - Мелихово</t>
  </si>
  <si>
    <t>Ульяново - Обухово - Ульяново</t>
  </si>
  <si>
    <t>Поздняково - Касьяново</t>
  </si>
  <si>
    <t>Мелихово - Сопово</t>
  </si>
  <si>
    <t>29 ОП МЗ 29Н-114</t>
  </si>
  <si>
    <t>29 ОП МЗ 29Н-115</t>
  </si>
  <si>
    <t>29 ОП МЗ 29Н-116</t>
  </si>
  <si>
    <t>29 ОП МЗ 29Н-117</t>
  </si>
  <si>
    <t>29 ОП МЗ 29Н-118</t>
  </si>
  <si>
    <t>29 ОП МЗ 29Н-119</t>
  </si>
  <si>
    <t>29 ОП МЗ 29Н-120</t>
  </si>
  <si>
    <t>29 ОП МЗ 29Н-121</t>
  </si>
  <si>
    <t>29 ОП МЗ 29Н-122</t>
  </si>
  <si>
    <t>29 ОП МЗ 29Н-123</t>
  </si>
  <si>
    <t>29 ОП МЗ 29Н-124</t>
  </si>
  <si>
    <t>29 ОП МЗ 29Н-125</t>
  </si>
  <si>
    <t>29 ОП МЗ 29Н-126</t>
  </si>
  <si>
    <t>29 ОП МЗ 29Н-127</t>
  </si>
  <si>
    <t>29 ОП МЗ 29Н-128</t>
  </si>
  <si>
    <t>29 ОП МЗ 29Н-129</t>
  </si>
  <si>
    <t>29 ОП МЗ 29Н-130</t>
  </si>
  <si>
    <t>29 ОП МЗ 29Н-131</t>
  </si>
  <si>
    <t>29 ОП МЗ 29Н-132</t>
  </si>
  <si>
    <t>29 ОП МЗ 29Н-133</t>
  </si>
  <si>
    <t>29 ОП МЗ 29Н-134</t>
  </si>
  <si>
    <t>29 ОП МЗ 29Н-135</t>
  </si>
  <si>
    <t>29 ОП МЗ 29Н-136</t>
  </si>
  <si>
    <t>29 ОП МЗ 29Н-137</t>
  </si>
  <si>
    <t>29 ОП МЗ 29Н-138</t>
  </si>
  <si>
    <t>29 ОП МЗ 29Н-139</t>
  </si>
  <si>
    <t>29 ОП МЗ 29Н-140</t>
  </si>
  <si>
    <t>29 ОП МЗ 29Н-141</t>
  </si>
  <si>
    <t>29 ОП МЗ 29Н-142</t>
  </si>
  <si>
    <t>29 ОП МЗ 29Н-143</t>
  </si>
  <si>
    <t>29 ОП МЗ 29Н-144</t>
  </si>
  <si>
    <t>29 ОП МЗ 29Н-145</t>
  </si>
  <si>
    <t>29 ОП МЗ 29Н-146</t>
  </si>
  <si>
    <t>29 ОП МЗ 29Н-147</t>
  </si>
  <si>
    <t>29 ОП МЗ 29Н-148</t>
  </si>
  <si>
    <t>29 ОП МЗ 29Н-149</t>
  </si>
  <si>
    <t>29 ОП МЗ 29Н-150</t>
  </si>
  <si>
    <t>29 ОП МЗ 29Н-151</t>
  </si>
  <si>
    <t>29 ОП МЗ 29Н-152</t>
  </si>
  <si>
    <t>29 ОП МЗ 29Н-153</t>
  </si>
  <si>
    <t>29 ОП МЗ 29Н-154</t>
  </si>
  <si>
    <t>29 ОП МЗ 29Н-155</t>
  </si>
  <si>
    <t>29 ОП МЗ 29Н-156</t>
  </si>
  <si>
    <t>29 ОП МЗ 29Н-157</t>
  </si>
  <si>
    <t>29 ОП МЗ 29Н-158</t>
  </si>
  <si>
    <t>29 ОП МЗ 29Н-159</t>
  </si>
  <si>
    <t>29 ОП МЗ 29Н-160</t>
  </si>
  <si>
    <t>29 ОП МЗ 29Н-161</t>
  </si>
  <si>
    <t>29 ОП МЗ 29Н-162</t>
  </si>
  <si>
    <t>29 ОП МЗ 29Н-163</t>
  </si>
  <si>
    <t>29 ОП МЗ 29Н-164</t>
  </si>
  <si>
    <t>29 ОП МЗ 29Н-165</t>
  </si>
  <si>
    <t>29 ОП МЗ 29Н-166</t>
  </si>
  <si>
    <t>29 ОП МЗ 29Н-167</t>
  </si>
  <si>
    <t>29 ОП МЗ 29Н-168</t>
  </si>
  <si>
    <t>29 ОП МЗ 29Н-169</t>
  </si>
  <si>
    <t>29 ОП МЗ 29Н-170</t>
  </si>
  <si>
    <t>29 ОП МЗ 29Н-171</t>
  </si>
  <si>
    <t>29 ОП МЗ 29Н-172</t>
  </si>
  <si>
    <t>29 ОП МЗ 29Н-173</t>
  </si>
  <si>
    <t>29 ОП МЗ 29Н-174</t>
  </si>
  <si>
    <t>29 ОП МЗ 29Н-175</t>
  </si>
  <si>
    <t>29 ОП МЗ 29Н-176</t>
  </si>
  <si>
    <t>29 ОП МЗ 29Н-177</t>
  </si>
  <si>
    <t>29 ОП МЗ 29Н-178</t>
  </si>
  <si>
    <t>29 ОП МЗ 29Н-179</t>
  </si>
  <si>
    <t>29 ОП МЗ 29Н-180</t>
  </si>
  <si>
    <t>29 ОП МЗ 29Н-181</t>
  </si>
  <si>
    <t>29 ОП МЗ 29Н-182</t>
  </si>
  <si>
    <t>29 ОП МЗ 29Н-183</t>
  </si>
  <si>
    <t>29 ОП МЗ 29Н-184</t>
  </si>
  <si>
    <t>29 ОП МЗ 29Н-185</t>
  </si>
  <si>
    <t>29 ОП МЗ 29Н-186</t>
  </si>
  <si>
    <t>29 ОП МЗ 29Н-187</t>
  </si>
  <si>
    <t>29 ОП МЗ 29Н-188</t>
  </si>
  <si>
    <t>29 ОП МЗ 29Н-189</t>
  </si>
  <si>
    <t>29 ОП МЗ 29Н-190</t>
  </si>
  <si>
    <t>29 ОП МЗ 29Н-191</t>
  </si>
  <si>
    <t>29 ОП МЗ 29Н-192</t>
  </si>
  <si>
    <t>29 ОП МЗ 29Н-193</t>
  </si>
  <si>
    <t>29 ОП МЗ 29Н-194</t>
  </si>
  <si>
    <t>29 ОП МЗ 29Н-195</t>
  </si>
  <si>
    <t>29 ОП МЗ 29Н-196</t>
  </si>
  <si>
    <t>29 ОП МЗ 29Н-197</t>
  </si>
  <si>
    <t>29 ОП МЗ 29Н-198</t>
  </si>
  <si>
    <t>29 ОП МЗ 29Н-199</t>
  </si>
  <si>
    <t>29 ОП МЗ 29Н-200</t>
  </si>
  <si>
    <t>29 ОП М3 29Н-201</t>
  </si>
  <si>
    <t>29 ОП МЗ 29Н-202</t>
  </si>
  <si>
    <t>29 ОП МЗ 29Н-203</t>
  </si>
  <si>
    <t>29 ОП МЗ 29Н-204</t>
  </si>
  <si>
    <t>29 ОП МЗ 29Н-205</t>
  </si>
  <si>
    <t>29 ОП МЗ 29Н-206</t>
  </si>
  <si>
    <t>29 ОП МЗ 29Н-207</t>
  </si>
  <si>
    <t>29 ОП МЗ 29Н-208</t>
  </si>
  <si>
    <t>29 ОП МЗ 29Н-209</t>
  </si>
  <si>
    <t>29 ОП МЗ 29Н-210</t>
  </si>
  <si>
    <t>29 ОП МЗ 29Н-211</t>
  </si>
  <si>
    <t>29 ОП МЗ 29Н-212</t>
  </si>
  <si>
    <t>29 ОП МЗ 29Н-213</t>
  </si>
  <si>
    <t>29 ОП МЗ 29Н-214</t>
  </si>
  <si>
    <t>29 ОП МЗ 29Н-215</t>
  </si>
  <si>
    <t>29 ОП МЗ 29Н-216</t>
  </si>
  <si>
    <t>29 ОП МЗ 29Н-217</t>
  </si>
  <si>
    <t>29 ОП МЗ 29Н-218</t>
  </si>
  <si>
    <t>29 ОП МЗ 29Н-219</t>
  </si>
  <si>
    <t>29 ОП МЗ 29Н-220</t>
  </si>
  <si>
    <t>29 ОП МЗ 29Н-221</t>
  </si>
  <si>
    <t>29 ОП МЗ 29Н-222</t>
  </si>
  <si>
    <t>29 ОП МЗ 29Н-223</t>
  </si>
  <si>
    <t>29 ОП МЗ 29Н-224</t>
  </si>
  <si>
    <t>29 ОП МЗ 29Н-225</t>
  </si>
  <si>
    <t>29 ОП МЗ 29Н-226</t>
  </si>
  <si>
    <t>29 ОП МЗ 29Н-227</t>
  </si>
  <si>
    <t>29 ОП МЗ 29Н-228</t>
  </si>
  <si>
    <t>29 ОП МЗ 29Н-229</t>
  </si>
  <si>
    <t>29 ОП МЗ 29Н-230</t>
  </si>
  <si>
    <t>29 ОП МЗ 29Н-231</t>
  </si>
  <si>
    <t>29 ОП МЗ 29Н-232</t>
  </si>
  <si>
    <t>29 ОП МЗ 29Н-233</t>
  </si>
  <si>
    <t>29 ОП МЗ 29Н-234</t>
  </si>
  <si>
    <t>29 ОП МЗ 29Н-235</t>
  </si>
  <si>
    <t>29 ОП МЗ 29Н-236</t>
  </si>
  <si>
    <t>29 ОП МЗ 29Н-237</t>
  </si>
  <si>
    <t>29 ОП МЗ 29Н-522</t>
  </si>
  <si>
    <t>29 ОП МЗ 29Н-239</t>
  </si>
  <si>
    <t>29 ОП МЗ 29Н-240</t>
  </si>
  <si>
    <t>29 ОП МЗ 29Н-241</t>
  </si>
  <si>
    <t>29 ОП МЗ 29Н-242</t>
  </si>
  <si>
    <t>29 ОП МЗ 29Н-243</t>
  </si>
  <si>
    <t>29 ОП МЗ 29Н-244</t>
  </si>
  <si>
    <t>29 ОП МЗ 29Н-245</t>
  </si>
  <si>
    <t>29 ОП МЗ 29Н-246</t>
  </si>
  <si>
    <t>29 ОП МЗ 29Н-247</t>
  </si>
  <si>
    <t>29 ОП МЗ 29Н-248</t>
  </si>
  <si>
    <t>29 ОП МЗ 29Н-249</t>
  </si>
  <si>
    <t>29 ОП МЗ 29Н-251</t>
  </si>
  <si>
    <t>29 ОП МЗ 29Н-252</t>
  </si>
  <si>
    <t>29 ОП МЗ 29Н-253</t>
  </si>
  <si>
    <t>29 ОП МЗ 29Н-254</t>
  </si>
  <si>
    <t>29 ОП МЗ 29Н-255</t>
  </si>
  <si>
    <t>29 ОП МЗ 29Н-256</t>
  </si>
  <si>
    <t>29 ОП МЗ 29Н-257</t>
  </si>
  <si>
    <t>29 ОП МЗ 29Н-258</t>
  </si>
  <si>
    <t>29 ОП МЗ 29Н-259</t>
  </si>
  <si>
    <t>29 ОП МЗ 29Н-260</t>
  </si>
  <si>
    <t>29 ОП МЗ 29Н-261</t>
  </si>
  <si>
    <t>29 ОП МЗ 29Н-262</t>
  </si>
  <si>
    <t>29 ОП МЗ 29Н-263</t>
  </si>
  <si>
    <t>29 ОП МЗ 29Н-264</t>
  </si>
  <si>
    <t>29 ОП МЗ 29Н-265</t>
  </si>
  <si>
    <t>29 ОП МЗ 29Н-266</t>
  </si>
  <si>
    <t>29 ОП МЗ 29Н-267</t>
  </si>
  <si>
    <t>29 ОП МЗ 29Н-268</t>
  </si>
  <si>
    <t>29 ОП МЗ 29Н-269</t>
  </si>
  <si>
    <t>29 ОП МЗ 29Н-270</t>
  </si>
  <si>
    <t>29 ОП МЗ 29Н-271</t>
  </si>
  <si>
    <t>29 ОП МЗ 29Н-272</t>
  </si>
  <si>
    <t>29 ОП МЗ 29Н-273</t>
  </si>
  <si>
    <t>29 ОП МЗ 29Н-274</t>
  </si>
  <si>
    <t>29 ОП МЗ 29Н-275</t>
  </si>
  <si>
    <t>29 ОП МЗ 29Н-277</t>
  </si>
  <si>
    <t>29 ОП МЗ 29Н-278</t>
  </si>
  <si>
    <t>29 ОП МЗ 29Н-279</t>
  </si>
  <si>
    <t>29 ОП МЗ 29Н-280</t>
  </si>
  <si>
    <t>29 ОП МЗ 29Н-281</t>
  </si>
  <si>
    <t>29 ОП МЗ 29Н-282</t>
  </si>
  <si>
    <t>29 ОП МЗ 29Н-283</t>
  </si>
  <si>
    <t>29 ОП МЗ 29Н-284</t>
  </si>
  <si>
    <t>29 ОП МЗ 29Н-285</t>
  </si>
  <si>
    <t>29 ОП МЗ 29Н-286</t>
  </si>
  <si>
    <t>29 ОП МЗ 29Н-287</t>
  </si>
  <si>
    <t>29 ОП МЗ 29Н-288</t>
  </si>
  <si>
    <t>29 ОП МЗ 29Н-289</t>
  </si>
  <si>
    <t>29 ОП МЗ 29Н-290</t>
  </si>
  <si>
    <t>29 ОП МЗ 29Н-291</t>
  </si>
  <si>
    <t>29 ОП МЗ 29Н-292</t>
  </si>
  <si>
    <t>29 ОП МЗ 29Н-293</t>
  </si>
  <si>
    <t>29 ОП МЗ 29Н-294</t>
  </si>
  <si>
    <t>29 ОП МЗ 29Н-295</t>
  </si>
  <si>
    <t>29 ОП МЗ 29Н-296</t>
  </si>
  <si>
    <t>29 ОП МЗ 29Н-297</t>
  </si>
  <si>
    <t>29 ОП МЗ 29Н-298</t>
  </si>
  <si>
    <t>29 ОП МЗ 29Н-299</t>
  </si>
  <si>
    <t>29 ОП МЗ 29Н-300</t>
  </si>
  <si>
    <t>29 ОП МЗ 29Н-301</t>
  </si>
  <si>
    <t>29 ОП МЗ 29Н-302</t>
  </si>
  <si>
    <t>29 ОП МЗ 29Н-303</t>
  </si>
  <si>
    <t>29 ОП МЗ 29Н-304</t>
  </si>
  <si>
    <t>29 ОП МЗ 29Н-305</t>
  </si>
  <si>
    <t>29 ОП МЗ 29Н-306</t>
  </si>
  <si>
    <t>29 ОП МЗ 29Н-307</t>
  </si>
  <si>
    <t>29 ОП МЗ 29Н-308</t>
  </si>
  <si>
    <t>29 ОП МЗ 29Н-309</t>
  </si>
  <si>
    <t>29 ОП МЗ 29Н-310</t>
  </si>
  <si>
    <t>29 ОП МЗ 29Н-311</t>
  </si>
  <si>
    <t>29 ОП МЗ 29Н-312</t>
  </si>
  <si>
    <t>29 ОП МЗ 29Н-313</t>
  </si>
  <si>
    <t>29 ОП МЗ 29Н-314</t>
  </si>
  <si>
    <t>29 ОП МЗ 29Н-315</t>
  </si>
  <si>
    <t>29 ОП МЗ 29Н-316</t>
  </si>
  <si>
    <t>29 ОП МЗ 29Н-317</t>
  </si>
  <si>
    <t>29 ОП МЗ 29Н-318</t>
  </si>
  <si>
    <t>29 ОП МЗ 29Н-319</t>
  </si>
  <si>
    <t>29 ОП МЗ 29Н-320</t>
  </si>
  <si>
    <t>29 ОП МЗ 29Н-321</t>
  </si>
  <si>
    <t>29 ОП МЗ 29Н-322</t>
  </si>
  <si>
    <t>29 ОП МЗ 29Н-323</t>
  </si>
  <si>
    <t>29 ОП МЗ 29Н-324</t>
  </si>
  <si>
    <t>29 ОП МЗ 29Н-325</t>
  </si>
  <si>
    <t>29 ОП МЗ 29Н-326</t>
  </si>
  <si>
    <t>29 ОП МЗ 29Н-327</t>
  </si>
  <si>
    <t>29 ОП МЗ 29Н-328</t>
  </si>
  <si>
    <t>29 ОП МЗ 29Н-329</t>
  </si>
  <si>
    <t>29 ОП МЗ 29Н-330</t>
  </si>
  <si>
    <t>29 ОП МЗ 29Н-331</t>
  </si>
  <si>
    <t>29 ОП МЗ 29Н-332</t>
  </si>
  <si>
    <t>29 ОП МЗ 29Н-333</t>
  </si>
  <si>
    <t>29 ОП МЗ 29Н-334</t>
  </si>
  <si>
    <t>29 ОП МЗ 29Н-335</t>
  </si>
  <si>
    <t>29 ОП МЗ 29Н-336</t>
  </si>
  <si>
    <t>29 ОП МЗ 29Н-337</t>
  </si>
  <si>
    <t>29 ОП МЗ 29Н-338</t>
  </si>
  <si>
    <t>29 ОП МЗ 29Н-339</t>
  </si>
  <si>
    <t>29 ОП МЗ 29Н-340</t>
  </si>
  <si>
    <t>29 ОП МЗ 29Н-341</t>
  </si>
  <si>
    <t>29 ОП МЗ 29Н-342</t>
  </si>
  <si>
    <t>29 ОП МЗ 29Н-343</t>
  </si>
  <si>
    <t>29 ОП МЗ 29Н-344</t>
  </si>
  <si>
    <t>29 ОП МЗ 29Н-345</t>
  </si>
  <si>
    <t>29 ОП МЗ 29Н-346</t>
  </si>
  <si>
    <t>29 ОП МЗ 29Н-347</t>
  </si>
  <si>
    <t>29 ОП МЗ 29Н-348</t>
  </si>
  <si>
    <t>29 ОП МЗ 29Н-349</t>
  </si>
  <si>
    <t>29 ОП МЗ 29Н-350</t>
  </si>
  <si>
    <t>29 ОП МЗ 29Н-351</t>
  </si>
  <si>
    <t>29 ОП МЗ 29Н-352</t>
  </si>
  <si>
    <t>29 ОП МЗ 29Н-353</t>
  </si>
  <si>
    <t>29 ОП МЗ 29Н-354</t>
  </si>
  <si>
    <t>29 ОП МЗ 29Н-355</t>
  </si>
  <si>
    <t>29 ОП МЗ 29Н-356</t>
  </si>
  <si>
    <t>29 ОП МЗ 29Н-357</t>
  </si>
  <si>
    <t>29 ОП МЗ 29Н-358</t>
  </si>
  <si>
    <t>29 ОП МЗ 29Н-359</t>
  </si>
  <si>
    <t>29 ОП МЗ 29Н-360</t>
  </si>
  <si>
    <t>29 ОП МЗ 29Н-361</t>
  </si>
  <si>
    <t>29 ОП МЗ 29Н-362</t>
  </si>
  <si>
    <t>29 ОП МЗ 29Н-363</t>
  </si>
  <si>
    <t>29 ОП МЗ 29Н-364</t>
  </si>
  <si>
    <t>29 ОП МЗ 29Н-365</t>
  </si>
  <si>
    <t>29 ОП МЗ 29Н-366</t>
  </si>
  <si>
    <t>29 ОП МЗ 29Н-367</t>
  </si>
  <si>
    <t>29 ОП МЗ 29Н-368</t>
  </si>
  <si>
    <t>29 ОП МЗ 29Н-369</t>
  </si>
  <si>
    <t>29 ОП МЗ 29Н-370</t>
  </si>
  <si>
    <t>29 ОП МЗ 29Н-371</t>
  </si>
  <si>
    <t>29 ОП МЗ 29Н-372</t>
  </si>
  <si>
    <t>29 ОП МЗ 29Н-373</t>
  </si>
  <si>
    <t>29 ОП МЗ 29Н-375</t>
  </si>
  <si>
    <t>29 ОП МЗ 29Н-376</t>
  </si>
  <si>
    <t>29 ОП МЗ 29Н-377</t>
  </si>
  <si>
    <t>29 ОП МЗ 29Н-378</t>
  </si>
  <si>
    <t>29 ОП МЗ 29Н-379</t>
  </si>
  <si>
    <t>29 ОП МЗ 29Н-380</t>
  </si>
  <si>
    <t>29 ОП МЗ 29Н-381</t>
  </si>
  <si>
    <t>29 ОП МЗ 29Н-382</t>
  </si>
  <si>
    <t>29 ОП МЗ 29Н-383</t>
  </si>
  <si>
    <t>29 ОП МЗ 29Н-384</t>
  </si>
  <si>
    <t>29 ОП МЗ 29Н-385</t>
  </si>
  <si>
    <t>29 ОП МЗ 29Н-386</t>
  </si>
  <si>
    <t>29 ОП МЗ 29Н-387</t>
  </si>
  <si>
    <t>29 ОП МЗ 29Н-389</t>
  </si>
  <si>
    <t>29 ОП МЗ 29Н-390</t>
  </si>
  <si>
    <t>29 ОП МЗ 29Н-391</t>
  </si>
  <si>
    <t>29 ОП МЗ 29Н-392</t>
  </si>
  <si>
    <t>29 ОП МЗ 29Н-393</t>
  </si>
  <si>
    <t>29 ОП МЗ 29Н-394</t>
  </si>
  <si>
    <t>29 ОП МЗ 29Н-395</t>
  </si>
  <si>
    <t>29 ОП МЗ 29Н-396</t>
  </si>
  <si>
    <t>29 ОП МЗ 29Н-397</t>
  </si>
  <si>
    <t>29 ОП МЗ 29Н-398</t>
  </si>
  <si>
    <t>29 ОП МЗ 29Н-399</t>
  </si>
  <si>
    <t>29 ОП МЗ 29Н-400</t>
  </si>
  <si>
    <t>29 ОП МЗ 29Н-401</t>
  </si>
  <si>
    <t>29 ОП МЗ 29Н-402</t>
  </si>
  <si>
    <t>29 ОП МЗ 29Н-403</t>
  </si>
  <si>
    <t>29 ОП МЗ 29Н-404</t>
  </si>
  <si>
    <t>29 ОП МЗ 29Н-405</t>
  </si>
  <si>
    <t>29 ОП МЗ 29Н-406</t>
  </si>
  <si>
    <t>29 ОП МЗ 29Н-407</t>
  </si>
  <si>
    <t>29 ОП МЗ 29Н-408</t>
  </si>
  <si>
    <t>29 ОП МЗ 29Н-409</t>
  </si>
  <si>
    <t>29 ОП МЗ 29Н-410</t>
  </si>
  <si>
    <t>29 ОП МЗ 29Н-411</t>
  </si>
  <si>
    <t>29 ОП МЗ 29Н-412</t>
  </si>
  <si>
    <t>29 ОП МЗ 29Н-413</t>
  </si>
  <si>
    <t>29 ОП МЗ 29Н-414</t>
  </si>
  <si>
    <t>29 ОП МЗ 29Н-415</t>
  </si>
  <si>
    <t>29 ОП МЗ 29Н-416</t>
  </si>
  <si>
    <t>29 ОП МЗ 29Н-417</t>
  </si>
  <si>
    <t>29 ОП МЗ 29Н-418</t>
  </si>
  <si>
    <t>29 ОП МЗ 29Н-419</t>
  </si>
  <si>
    <t>29 ОП МЗ 29Н-420</t>
  </si>
  <si>
    <t>29 ОП МЗ 29Н-421</t>
  </si>
  <si>
    <t>29 ОП МЗ 29Н-422</t>
  </si>
  <si>
    <t>29 ОП МЗ 29Н-423</t>
  </si>
  <si>
    <t>29 ОП МЗ 29Н-424</t>
  </si>
  <si>
    <t>29 ОП МЗ 29Н-425</t>
  </si>
  <si>
    <t>29 ОП МЗ 29Н-426</t>
  </si>
  <si>
    <t>29 ОП МЗ 29Н-427</t>
  </si>
  <si>
    <t>29 ОП МЗ 29Н-428</t>
  </si>
  <si>
    <t>29 ОП МЗ 29Н-429</t>
  </si>
  <si>
    <t>29 ОП МЗ 29Н-430</t>
  </si>
  <si>
    <t>29 ОП МЗ 29Н-431</t>
  </si>
  <si>
    <t>29 ОП МЗ 29Н-432</t>
  </si>
  <si>
    <t>29 ОП МЗ 29Н-433</t>
  </si>
  <si>
    <t>29 ОП МЗ 29Н-434</t>
  </si>
  <si>
    <t>29 ОП МЗ 29Н-435</t>
  </si>
  <si>
    <t>29 ОП МЗ 29Н-436</t>
  </si>
  <si>
    <t>29 ОП МЗ 29Н-437</t>
  </si>
  <si>
    <t>29 ОП МЗ 29Н-438</t>
  </si>
  <si>
    <t>29 ОП МЗ 29Н-439</t>
  </si>
  <si>
    <t>29 ОП МЗ 29Н-440</t>
  </si>
  <si>
    <t>29 ОП МЗ 29Н-441</t>
  </si>
  <si>
    <t>29 ОП МЗ 29Н-442</t>
  </si>
  <si>
    <t>29 ОП МЗ 29Н-443</t>
  </si>
  <si>
    <t>29 ОП МЗ 29Н-444</t>
  </si>
  <si>
    <t>29 ОП МЗ 29Н-445</t>
  </si>
  <si>
    <t>29 ОП МЗ 29Н-446</t>
  </si>
  <si>
    <t>29 ОП МЗ 29Н-447</t>
  </si>
  <si>
    <t>29 ОП МЗ 29Н-448</t>
  </si>
  <si>
    <t>29 ОП МЗ 29Н-449</t>
  </si>
  <si>
    <t>29 ОП МЗ 29Н-450</t>
  </si>
  <si>
    <t>29 ОП МЗ 29Н-451</t>
  </si>
  <si>
    <t>29 ОП МЗ 29Н-452</t>
  </si>
  <si>
    <t>29 ОП МЗ 29Н-453</t>
  </si>
  <si>
    <t>29 ОП МЗ 29Н-454</t>
  </si>
  <si>
    <t>29 ОП МЗ 29Н-455</t>
  </si>
  <si>
    <t>29 ОП МЗ 29Н-456</t>
  </si>
  <si>
    <t>29 ОП МЗ 29Н-457</t>
  </si>
  <si>
    <t>Ферзиково - Кольцово</t>
  </si>
  <si>
    <t>Ферзиково - Сугоново</t>
  </si>
  <si>
    <t>Калуга - Ястребовка</t>
  </si>
  <si>
    <t>Ферзиково - Дугна - Р-132 "Калуга - Тула - Михайлов - Рязань"</t>
  </si>
  <si>
    <t>Р-132 "Калуга - Тула - Михайлов - Рязань" - Зудна</t>
  </si>
  <si>
    <t>Калуга - Ферзиково - Таруса - Серпухов - Красный Городок</t>
  </si>
  <si>
    <t>Р-132 "Калуга - Тула - Михайлов - Рязань" - Октябрьский</t>
  </si>
  <si>
    <t>Кольцово - Михайловка</t>
  </si>
  <si>
    <t>Желябужский - садоводческое товарищество "Надежда"</t>
  </si>
  <si>
    <t>Грабцево - Воскресенское</t>
  </si>
  <si>
    <t>Бебелево - Болдасовка</t>
  </si>
  <si>
    <t>Окружная автодорога п. Ферзиково</t>
  </si>
  <si>
    <t>Теребень - Еленский - Клен</t>
  </si>
  <si>
    <t>Теребень - Кудрявец</t>
  </si>
  <si>
    <t>Хвастовичи - Стайки</t>
  </si>
  <si>
    <t>Рессета - Ловатянка</t>
  </si>
  <si>
    <t>Еленский - Долина</t>
  </si>
  <si>
    <t>Стайки - Боев</t>
  </si>
  <si>
    <t>Фролово - Желтянка</t>
  </si>
  <si>
    <t>Кудрявец - Агеевка - гр. Орловской области</t>
  </si>
  <si>
    <t>А-130 "Москва - Малоярославец - Рославль" - Беляево</t>
  </si>
  <si>
    <t>Павлищево - Павлищев Бор</t>
  </si>
  <si>
    <t>Озеро - Лунево</t>
  </si>
  <si>
    <t>Куркино - Луканино</t>
  </si>
  <si>
    <t>А-130 "Москва - Малоярославец - Рославль" - Саволенка</t>
  </si>
  <si>
    <t>Есипово - Гороховка</t>
  </si>
  <si>
    <t>Мостовой переход через р. Течу у д. Зубово</t>
  </si>
  <si>
    <t>Беляево - Папаево</t>
  </si>
  <si>
    <t>Климов Завод - Памятник воинам 33 армии</t>
  </si>
  <si>
    <t>Крюково - Погореловка</t>
  </si>
  <si>
    <t>Р-92 "Калуга - Перемышль - Белев - Орел" - Верхняя Вырка - Нижняя Вырка - Правый берег</t>
  </si>
  <si>
    <t>Шопино - Воровая</t>
  </si>
  <si>
    <t>Сооружение дорожного транспорта</t>
  </si>
  <si>
    <t>Р92 "Калуга - Перемышль - Белев - Орел", км 8 + 414 - км 11 + 202</t>
  </si>
  <si>
    <t>29 ОП МЗ 29Н-459</t>
  </si>
  <si>
    <t>29 ОП МЗ 29Н-460</t>
  </si>
  <si>
    <t>29 ОП МЗ 29Н-462</t>
  </si>
  <si>
    <t>29 ОП МЗ 29Н-464</t>
  </si>
  <si>
    <t>29 ОП МЗ 29Н-465</t>
  </si>
  <si>
    <t>29 ОП МЗ 29Н-466</t>
  </si>
  <si>
    <t>29 ОП МЗ 29Н-467</t>
  </si>
  <si>
    <t>29 ОП МЗ 29Н-468</t>
  </si>
  <si>
    <t>29 ОП МЗ 29Н-469</t>
  </si>
  <si>
    <t>29 ОП МЗ 29Н-470</t>
  </si>
  <si>
    <t>29 ОП МЗ 29Н-471</t>
  </si>
  <si>
    <t>29 ОП МЗ 29Н-472</t>
  </si>
  <si>
    <t>29 ОП МЗ 29Н-473</t>
  </si>
  <si>
    <t>29 ОП МЗ 29Н-474</t>
  </si>
  <si>
    <t>29 ОП МЗ 29Н-475</t>
  </si>
  <si>
    <t>29 ОП МЗ 29Н-476</t>
  </si>
  <si>
    <t>29 ОП МЗ 29Н-477</t>
  </si>
  <si>
    <t>29 ОП МЗ 29Н-478</t>
  </si>
  <si>
    <t>29 ОП МЗ 29Н-479</t>
  </si>
  <si>
    <t>29 ОП МЗ 29Н-523</t>
  </si>
  <si>
    <t>29 ОП МЗ 29Н-480</t>
  </si>
  <si>
    <t>29 ОП МЗ 29Н-481</t>
  </si>
  <si>
    <t>29 ОП МЗ 29Н-482</t>
  </si>
  <si>
    <t>29 ОП МЗ 29Н-483</t>
  </si>
  <si>
    <t>29 ОП МЗ 29Н-484</t>
  </si>
  <si>
    <t>29 ОП МЗ 29Н-485</t>
  </si>
  <si>
    <t>29 ОП МЗ 29Н-486</t>
  </si>
  <si>
    <t>29 ОП МЗ 29Н-487</t>
  </si>
  <si>
    <t>29 ОП МЗ 29Н-488</t>
  </si>
  <si>
    <t>29 ОП МЗ 29Н-489</t>
  </si>
  <si>
    <t>29 ОП МЗ 29Н-490</t>
  </si>
  <si>
    <t>29 ОП МЗ 29Н-492</t>
  </si>
  <si>
    <t>29 ОП МЗ 29Н-493</t>
  </si>
  <si>
    <t>29 ОП МЗ 29Н-494</t>
  </si>
  <si>
    <t>29 ОП МЗ 29Н-495</t>
  </si>
  <si>
    <t>29 ОП МЗ 29Н-496</t>
  </si>
  <si>
    <t>29 ОП МЗ 29Н-497</t>
  </si>
  <si>
    <t>29 ОП МЗ 29Н-498</t>
  </si>
  <si>
    <t>29 ОП МЗ 29Н-499</t>
  </si>
  <si>
    <t>29 ОП МЗ 29Н-500</t>
  </si>
  <si>
    <t>29 ОП МЗ 29Н-501</t>
  </si>
  <si>
    <t>29 ОП МЗ 29Н-502</t>
  </si>
  <si>
    <t>29 ОП МЗ 29Н-503</t>
  </si>
  <si>
    <t>29 ОП МЗ 29Н-504</t>
  </si>
  <si>
    <t>29 ОП МЗ 29Н-506</t>
  </si>
  <si>
    <t>29 ОП МЗ 29Н-507</t>
  </si>
  <si>
    <t>29 ОП МЗ 29Н-508</t>
  </si>
  <si>
    <t>29 ОП МЗ 29Н-518</t>
  </si>
  <si>
    <t>29 ОП МЗ 29Н-524</t>
  </si>
  <si>
    <t>29 ОП МЗ 29Н-525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</si>
  <si>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</si>
  <si>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</si>
  <si>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</si>
  <si>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</si>
  <si>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</si>
  <si>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</si>
  <si>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"Белоусово - Высокиничи - Серпухов" - Чаусово - Троицкое - Кременки</t>
  </si>
  <si>
    <t>Козельский</t>
  </si>
  <si>
    <t>Куйбышевский</t>
  </si>
  <si>
    <t>"Вязьма - Калуга" - Мосальск</t>
  </si>
  <si>
    <t>"Брянск - Людиново - Киров" - А-130 "Москва - Малоярославец - Рославль"</t>
  </si>
  <si>
    <t>"Мосальск - Барятино - "Брянск - Людиново - Киров" - А-130 "Москва - Малоярославец - Рославль"</t>
  </si>
  <si>
    <t>"Малоярославец - Боровск" - Обнинск</t>
  </si>
  <si>
    <t>"Калуга - Медынь" - Кондрово</t>
  </si>
  <si>
    <t>"Бабынино - Воротынск - поворот Росва" - Антопьево - Акулово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</si>
  <si>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</si>
  <si>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</si>
  <si>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</si>
  <si>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</si>
  <si>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</si>
  <si>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</si>
  <si>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</si>
  <si>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</si>
  <si>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</si>
  <si>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</si>
  <si>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</si>
  <si>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</si>
  <si>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Калуга</t>
  </si>
  <si>
    <t>Юхновский</t>
  </si>
  <si>
    <t>Нет в ДГ</t>
  </si>
  <si>
    <t>"Малоярославец - Боровск"- Кривское - Обнинск</t>
  </si>
  <si>
    <t>"Боровск - Федорино - "Верея - Медынь" - Сатино - Совьяки</t>
  </si>
  <si>
    <t>"Боровск - Федорино - "Верея - Медынь" - Рогозино</t>
  </si>
  <si>
    <t>"Боровск - Федорино - "Верея - Медынь" - Асеньевское</t>
  </si>
  <si>
    <t>"Боровск - Федорино -"Верея - Медынь" - Гордеево</t>
  </si>
  <si>
    <t>"Боровск - Федорино -"Верея - Медынь" - Ищеино - Зеленино</t>
  </si>
  <si>
    <t>"Боровск - Федорино - "Верея - Медынь" - Медовники - Серединское - Коростелево</t>
  </si>
  <si>
    <t>"Ермолино - Боровск - Верея" - Маломахово</t>
  </si>
  <si>
    <t>"Малоярославец - Боровск" - Комлево - Роща</t>
  </si>
  <si>
    <t>"Малоярославец - Боровск" - Шемякино</t>
  </si>
  <si>
    <t>"Малоярославец - Боровск" - "Боровск - Федорино" - "Верея - Медынь"</t>
  </si>
  <si>
    <t>"Ермолино - Боровск - Верея" - Загрязье</t>
  </si>
  <si>
    <t>"Вязьма - Калуга" - Кожухово - совхоз "Чкаловский"</t>
  </si>
  <si>
    <t>"Подъезд к усадьбе Гончаровых" - Редькино</t>
  </si>
  <si>
    <t>"Калуга - Медынь" - Старки</t>
  </si>
  <si>
    <t>"Калуга - Медынь" - Дворцы - "Калуга - Медынь"</t>
  </si>
  <si>
    <t>"Товарково - Рудня" - Кожухово</t>
  </si>
  <si>
    <t>"Калуга - Медынь" - ц. у. совхоза им. Ленина</t>
  </si>
  <si>
    <t>"Калуга - Медынь" - Новое Уткино - Старое Уткино</t>
  </si>
  <si>
    <t>"Галкино - Сени - Дурнево" - Плюсково</t>
  </si>
  <si>
    <t>"Полотняный Завод" - Товарково - Бели - Дубинино</t>
  </si>
  <si>
    <t>"Чкаловский - Щуплово" - Чуносово</t>
  </si>
  <si>
    <t>"Калуга - Медынь" - Желтыкино - Карцово" - Барятино</t>
  </si>
  <si>
    <t>"Калуга - Медынь" - Желтыкино - Карцово" - Маковцы</t>
  </si>
  <si>
    <t>"Острожное - Звизжи - Смагино" - Никола-Ленивец</t>
  </si>
  <si>
    <t>"Брынь - Гульцово" - Маслово</t>
  </si>
  <si>
    <t>"Думиничи - Буда" - Речица</t>
  </si>
  <si>
    <t>"Думиничи - Буда" - Паликовский кирпичный завод - электроподстанция Палики</t>
  </si>
  <si>
    <t>"Жиздра - Нижняя Акимовка"- Дубищенский - Остров</t>
  </si>
  <si>
    <t>"Студенец - Полюдово" - Петровка - "Студенец - Полюдово"</t>
  </si>
  <si>
    <t>"Белоусово - Высокиничи - Серпухов" - Трубино</t>
  </si>
  <si>
    <t>"Белоусово - Высокиничи - Серпухов" - Черная Грязь - Ильинское - Тиньково</t>
  </si>
  <si>
    <t>"Киров - Бережки - Фоминичи" - Гавриловка</t>
  </si>
  <si>
    <t>"Брянск - Людиново - Киров" - А-130 "Москва - Малоярославец - Рославль" - Вежи - Выползово</t>
  </si>
  <si>
    <t>"Брянск - Людиново - Киров" - А-130 "Москва - Малоярославец - Рославль" - Якимово - Дуброво</t>
  </si>
  <si>
    <t>"Брянск - Людиново - Киров" - А-130 "Москва - Малоярославец - Рославль" - Лосиное" - Калининский</t>
  </si>
  <si>
    <t>"Брянск - Людиново - Киров" - А-130 "Москва - Малоярославец - Рославль" - Лосиное</t>
  </si>
  <si>
    <t>"Брянск - Людиново - Киров"- А-130 "Москва - Малоярославец - Рославль" - Лосиное" - Ракитня</t>
  </si>
  <si>
    <t>"Верхняя Песочня - Анновка" - Чужбиновка - Малая Большуха</t>
  </si>
  <si>
    <t>"Оптина Пустынь - Нижние Прыски" - Сосенский - Шепелево</t>
  </si>
  <si>
    <t>"Козельск - Кудринская" - Бурнашево</t>
  </si>
  <si>
    <t>"Козельск - Кудринская" - Плюсково</t>
  </si>
  <si>
    <t>"Козельск - Киреевское - Чернышено" - Сенино - Шепелево</t>
  </si>
  <si>
    <t>"Козельск - Сухиничи - М-3 Украина" - Лавровск</t>
  </si>
  <si>
    <t>"Козельск - Кудринская"- Берды</t>
  </si>
  <si>
    <t>"Козельск - Сухиничи" - М-3 "Украина" - Гришинск</t>
  </si>
  <si>
    <t>"Козельск - Киреевское - Чернышено" - Хряпкино</t>
  </si>
  <si>
    <t>"Козельск - Березичский Стеклозавод" - Березичи</t>
  </si>
  <si>
    <t>"Каменка - Шамордино" - Васильевка</t>
  </si>
  <si>
    <t>"Козельск - Киреевское - Чернышено" - Слаговищи</t>
  </si>
  <si>
    <t>"Киров - Бетлица" - Лужница - "Бетлица - Ветьмица - Бутчино"</t>
  </si>
  <si>
    <t>"Брянск - Людиново - Киров" - А-130 "Москва - Малоярославец - Рославль" - Вербежичи - Буда - Манино</t>
  </si>
  <si>
    <t>"Людиново - Жиздра - М-3 Украина" - Заболотье</t>
  </si>
  <si>
    <t>"Брянск - Людиново - Киров"- А-130 "Москва - Малоярославец - Рославль" - Сукремль</t>
  </si>
  <si>
    <t>"Людиново - Жиздра - М-3 Украина" - Войлово - Мосеевка</t>
  </si>
  <si>
    <t>"Окружная дорога г. Калуги - Детчино - Малоярославец" - Машкино - Станки - А-130 "Москва - Малоярославец - Рославль"</t>
  </si>
  <si>
    <t>2Окружная дорога г. Калуги - Детчино - Малоярославец" - Ерденево</t>
  </si>
  <si>
    <t>"Окружная дорога г. Калуги - Детчино - Малоярославец" - Дубровка</t>
  </si>
  <si>
    <t>"Окружная дорога г. Калуги - Детчино - Малоярославец" - Воробьево - Смахтино</t>
  </si>
  <si>
    <t>"Недельное - Казариново - Севрюково" - Кудиново</t>
  </si>
  <si>
    <t>"Верея - Медынь"- Глухово</t>
  </si>
  <si>
    <t>"Верея - Медынь" - Брюхово - Никитское - Передел</t>
  </si>
  <si>
    <t>"Мещовск - Кудринская" - Картышово</t>
  </si>
  <si>
    <t>"Вязьма - Калуга" - Мосальск - Синий Колодезь - Подкопаево</t>
  </si>
  <si>
    <t>"Мещовск - Кудринская"- Нестеровка</t>
  </si>
  <si>
    <t>"Козельск - Кудринская" - Мошонки</t>
  </si>
  <si>
    <t>"Мещовск - Молодежный - М-3 Украина" - Мармыжи - Ломакино</t>
  </si>
  <si>
    <t>"Мещовск - Серпейск" - Растворово</t>
  </si>
  <si>
    <t>"Мещовск - Кудринская" - Карцево</t>
  </si>
  <si>
    <t>"Мещовск - Молодежный - М-3 Украина" - Торкотино</t>
  </si>
  <si>
    <t>"Мещовск - Серпейск2 - Щетиново - Овсянниково</t>
  </si>
  <si>
    <t>"Козельск - Кудринская" - Кудрино - Кудринская</t>
  </si>
  <si>
    <t>"Козельск - Кудринская"- Торхово - Тушенка</t>
  </si>
  <si>
    <t>"Мосальск - Барятино2 - "Брянск - Людиново - Киров" - А-130 "Москва - Малоярославец - Рославль" - Зюзино</t>
  </si>
  <si>
    <t>"Вязьма - Калуга" - Мосальск" - Боровенск</t>
  </si>
  <si>
    <t>"Вязьма - Калуга" - Мосальск"- Горбачи</t>
  </si>
  <si>
    <t>"Вязьма - Калуга" - Мосальск" - Фошня</t>
  </si>
  <si>
    <t>"Голодское - Суворов - Одоев"- Гремячево</t>
  </si>
  <si>
    <t>"Голодское - Суворов - Одоев"- Григоровское</t>
  </si>
  <si>
    <t>"М-3 Украина" - Перемышль" - Горки</t>
  </si>
  <si>
    <t>"М-3 Украина" - Перемышль" - Воротынск</t>
  </si>
  <si>
    <t>"М-3 Украина" - Перемышль" - Погореловка</t>
  </si>
  <si>
    <t>"М-3 Украина" - Перемышль" - Борищево</t>
  </si>
  <si>
    <t>"М-3 Украина" - Перемышль" - Новоселки</t>
  </si>
  <si>
    <t>"Голодское - Суворов - Одоев" - Василенки - Зеленино</t>
  </si>
  <si>
    <t>"М-3 Украина" - Перемышль" - Головнино</t>
  </si>
  <si>
    <t>"М-3 Украина" - Перемышль" - Слободка</t>
  </si>
  <si>
    <t>"А-130 Москва - Малоярославец - Рославль" - Спас-Деменск - Ельня - Починок" - Лазинки</t>
  </si>
  <si>
    <t>"А-130 Москва - Малоярославец - Рославль" - Стайки" - Понизовье</t>
  </si>
  <si>
    <t>"Стайки - Асташово" - Гайдуки</t>
  </si>
  <si>
    <t>"Спас-Деменск - Теплово" - Наумово</t>
  </si>
  <si>
    <t>"Козельск - Сухиничи - М-3 Украина" - Богдановы Колодези</t>
  </si>
  <si>
    <t>"Козельск - Сухиничи - М-3 Украина" - Татаринцы</t>
  </si>
  <si>
    <t>"Козельск - Сухиничи - М-3 Украина" - Радождево</t>
  </si>
  <si>
    <t>"Козельск - Сухиничи - М-3 Украина" - Богдановы Колодези" - Сяглово</t>
  </si>
  <si>
    <t>"Козельск - Сухиничи - М-3 Украина" - Богдановы Колодези" - Плохово</t>
  </si>
  <si>
    <t>"Калуга - Ферзиково - Таруса - Серпухов" - Вознесенье</t>
  </si>
  <si>
    <t>"Ульяново - Брежнево" - Поздняково</t>
  </si>
  <si>
    <t>"Козельск - Ульяново - Дудоровский - Хвастовичи" - Волосово-Дудино</t>
  </si>
  <si>
    <t>"Козельск - Ульяново - Дудоровский - Хвастовичи" - Вязовна</t>
  </si>
  <si>
    <t>"Козельск - Ульяново - Дудоровский - Хвастовичи" - Медынцево</t>
  </si>
  <si>
    <t>"Козельск - Ульяново - Дудоровский - Хвастовичи" - Жильково</t>
  </si>
  <si>
    <t>"Мелихово - Сопово" - Ягодное</t>
  </si>
  <si>
    <t>"Ульяново - Брежнево" - Дурнево - Дебрь</t>
  </si>
  <si>
    <t>"Ульяново - Брежнево" - Сорокино</t>
  </si>
  <si>
    <t>"Ульяново - Брежнево" - Озерно</t>
  </si>
  <si>
    <t>"Ульяново - Брежнево" - Кирейково</t>
  </si>
  <si>
    <t>"Козельск - Ульяново - Дудоровский - Хвастовичи" - Ефимцево</t>
  </si>
  <si>
    <t>"Ульяново - Крапивна" - Мелихово- Афанасово</t>
  </si>
  <si>
    <t>"Козельск - Ульяново - Дудоровский - Хвастовичи"- Старица</t>
  </si>
  <si>
    <t>"Ульяново - Брежнево" - Уколица</t>
  </si>
  <si>
    <t>"Калуга - Ферзиково - Таруса - Серпухов" - Авчурино</t>
  </si>
  <si>
    <t>"Калуга - Ферзиково - Таруса - Серпухов" - Старо-Селиваново</t>
  </si>
  <si>
    <t>"Ферзиково - Дугна" - Р-132 "Калуга - Тула - Михайлов - Рязань" - Бронцы</t>
  </si>
  <si>
    <t>"Ферзиково-Дугна-Р-132 Калуга-Тула - Михайлов - Рязань" - Борщевка</t>
  </si>
  <si>
    <t>"Ферзиково-Дугна-Р-132 Калуга-Тула - Михайлов - Рязань" - Богимово</t>
  </si>
  <si>
    <t>"Ферзиково - Сугоново" - Русиново</t>
  </si>
  <si>
    <t>"Калуга - Ферзиково - Таруса - Серпухов" - Перцево</t>
  </si>
  <si>
    <t>"Калуга - Ферзиково - Таруса - Серпухов" - Желябужский</t>
  </si>
  <si>
    <t>"Калуга - Ферзиково - Таруса - Серпухов" - Жиливки</t>
  </si>
  <si>
    <t>Р-132 "Калуга - Тула - Михайлов - Рязань" - Кутьково - Грязново - Октябрьский</t>
  </si>
  <si>
    <t>"М-3 "Украина" - Судимир - Хвастовичи - Теребень" - Воткино</t>
  </si>
  <si>
    <t>"М-3 "Украина" - Судимир - Хвастовичи - Теребень" - Слобода</t>
  </si>
  <si>
    <t>"Козельск - Ульяново - Дудоровский - Хвастовичи" - Милеево</t>
  </si>
  <si>
    <t>"Вязьма - Калуга" - Озеро</t>
  </si>
  <si>
    <t>"Вязьма - Калуга" - Павлищево - Порослицы - Выползово</t>
  </si>
  <si>
    <t>"Вязьма - Калуга" - Упрямово - Чемоданово</t>
  </si>
  <si>
    <t>"Вязьма - Калуга" - Куркино</t>
  </si>
  <si>
    <t>"Вязьма - Калуга" - Солопихино - Деревягино</t>
  </si>
  <si>
    <t>"Вязьма - Калуга" - Мосальск" - Синий Колодезь - Подкопаево" - Житеевка</t>
  </si>
  <si>
    <t>1960341</t>
  </si>
  <si>
    <t>0+250</t>
  </si>
  <si>
    <t>0+800</t>
  </si>
  <si>
    <t>3+050</t>
  </si>
  <si>
    <t>8+800</t>
  </si>
  <si>
    <t>0+000</t>
  </si>
  <si>
    <t>20+245</t>
  </si>
  <si>
    <t>20+925</t>
  </si>
  <si>
    <t>28+030</t>
  </si>
  <si>
    <t>8+560</t>
  </si>
  <si>
    <t>7+240</t>
  </si>
  <si>
    <t>0+260</t>
  </si>
  <si>
    <t>1+630</t>
  </si>
  <si>
    <t>12+630</t>
  </si>
  <si>
    <t>2+485</t>
  </si>
  <si>
    <t>9+292</t>
  </si>
  <si>
    <t>0+510</t>
  </si>
  <si>
    <t>3+257</t>
  </si>
  <si>
    <t>10+000</t>
  </si>
  <si>
    <t>1+300</t>
  </si>
  <si>
    <t>24+400</t>
  </si>
  <si>
    <t xml:space="preserve">51+907  </t>
  </si>
  <si>
    <t xml:space="preserve">4+300 </t>
  </si>
  <si>
    <t>10+741</t>
  </si>
  <si>
    <t>3+750</t>
  </si>
  <si>
    <t>21+000</t>
  </si>
  <si>
    <t xml:space="preserve">16+800 </t>
  </si>
  <si>
    <t xml:space="preserve">25+020 </t>
  </si>
  <si>
    <t xml:space="preserve">55+420  </t>
  </si>
  <si>
    <t xml:space="preserve">55+600 </t>
  </si>
  <si>
    <t>64+600</t>
  </si>
  <si>
    <t>27+300</t>
  </si>
  <si>
    <t>40+695</t>
  </si>
  <si>
    <t>4+950</t>
  </si>
  <si>
    <t>7+110</t>
  </si>
  <si>
    <t xml:space="preserve">0+000 </t>
  </si>
  <si>
    <t>12+338</t>
  </si>
  <si>
    <t>0+450</t>
  </si>
  <si>
    <t>9+235</t>
  </si>
  <si>
    <t>1960023</t>
  </si>
  <si>
    <t>12+000</t>
  </si>
  <si>
    <t>19+000</t>
  </si>
  <si>
    <t>1960353</t>
  </si>
  <si>
    <t>2+300</t>
  </si>
  <si>
    <t>2+000</t>
  </si>
  <si>
    <t>2+500</t>
  </si>
  <si>
    <t>10+300</t>
  </si>
  <si>
    <t>укладка слоев износа</t>
  </si>
  <si>
    <t>шероховатая поверхностная обработка</t>
  </si>
  <si>
    <t>обработка защитной пропиткой</t>
  </si>
  <si>
    <t>установка водоотводных лотков</t>
  </si>
  <si>
    <t>5+220</t>
  </si>
  <si>
    <t>5+500</t>
  </si>
  <si>
    <t>8+000</t>
  </si>
  <si>
    <t>пог.м</t>
  </si>
  <si>
    <t>КРОМЕ ТОГО:</t>
  </si>
  <si>
    <t>Мероприятия направленные на обеспечение сохранности автомобильных дорог</t>
  </si>
  <si>
    <t>Восстановление поперечного профиля и ровности проезжей части гравийных покрытий с добавлением гравия с расходом до 300 м на 1 километр</t>
  </si>
  <si>
    <t>Ликвидация колей глубиной до 50 мм; фрезерование или срезка гребней выпора и неровностей по колеям (полосам наката) с заполнением колей черным щебнем или асфальтобетоном и устройством защитного слоя на всю ширину покрытия</t>
  </si>
  <si>
    <t>Восстановление поперечного профиля и ровности проезжей части автомобильных дорог с щебеночным покрытием с добавлением щебня с расходом до 300 м на 1 километр</t>
  </si>
  <si>
    <t>Восстановление поперечного профиля и ровности проезжей части автомобильных дорог с щебеночным, гравийным или грунтовым покрытием без добавления новых материалов</t>
  </si>
  <si>
    <t>Профилировка проезжей части</t>
  </si>
  <si>
    <t>Устройство защитных слоев, слоев износа и поверхностной обработки дорожного покрытия</t>
  </si>
  <si>
    <t>Восстановление изношенных верхних слоев асфальтобетонных покрытий</t>
  </si>
  <si>
    <t>Восстановление дорожной одежды на участках с пучинистыми и слабыми грунтами на площади до 100 м2</t>
  </si>
  <si>
    <t>Заливка трещин на асфальтобетонных покрытиях</t>
  </si>
  <si>
    <t xml:space="preserve">Устранение деформаций и повреждений (заделка выбоин, просадок, шелушения, выкрашивания и других дефектов) покрытий, исправление кромок покрытий </t>
  </si>
  <si>
    <t>м</t>
  </si>
  <si>
    <t xml:space="preserve">Автомобильные дороги общего пользования регионального и межмуниципального значения </t>
  </si>
  <si>
    <t>Кроме того:</t>
  </si>
  <si>
    <t>6+564</t>
  </si>
  <si>
    <t>4+190</t>
  </si>
  <si>
    <t>14+829</t>
  </si>
  <si>
    <t>33+100</t>
  </si>
  <si>
    <t>1960091</t>
  </si>
  <si>
    <t>1960059</t>
  </si>
  <si>
    <t>15+192</t>
  </si>
  <si>
    <t>1960193</t>
  </si>
  <si>
    <t>1959968</t>
  </si>
  <si>
    <t>12+100</t>
  </si>
  <si>
    <t>Вашутино-Новомихайловское</t>
  </si>
  <si>
    <t>Федорино-Борисово-Гольтяево</t>
  </si>
  <si>
    <t>А-130 "Москва-Малоярославец-Рославль"-Орехово-Корсаково</t>
  </si>
  <si>
    <t>Папино-Инино</t>
  </si>
  <si>
    <t>А-108 "Московское большое кольцо"- Машково</t>
  </si>
  <si>
    <t>Таруса-Алекино</t>
  </si>
  <si>
    <t>85+000</t>
  </si>
  <si>
    <t>90+254</t>
  </si>
  <si>
    <t>4+160</t>
  </si>
  <si>
    <t>9+100</t>
  </si>
  <si>
    <t>2+490</t>
  </si>
  <si>
    <t>2+967</t>
  </si>
  <si>
    <t>4+317</t>
  </si>
  <si>
    <t>9+064</t>
  </si>
  <si>
    <t>10+150</t>
  </si>
  <si>
    <t>159+672</t>
  </si>
  <si>
    <t>170+786</t>
  </si>
  <si>
    <t>4+433</t>
  </si>
  <si>
    <t>дополнительные работы по восстановлению дорожной одежды на участке, разрушенном вследсвие пучинообразования</t>
  </si>
  <si>
    <t>капитальный ремонт ИССО</t>
  </si>
  <si>
    <t>ремонт ИССО</t>
  </si>
  <si>
    <t>строительство ИССО</t>
  </si>
  <si>
    <t>реконструкция ИССО</t>
  </si>
  <si>
    <t>установка тросового/ барьерного ограждения</t>
  </si>
  <si>
    <t xml:space="preserve">устройство освещения </t>
  </si>
  <si>
    <t>установка водоотводных полос</t>
  </si>
  <si>
    <t>пог.м.</t>
  </si>
  <si>
    <t>км, кв.м., пог.м, шт.</t>
  </si>
  <si>
    <t>иные виды работ (работы, направленные на ликвидацию мест дорожно-транспортных происшествий)</t>
  </si>
  <si>
    <t>8+350</t>
  </si>
  <si>
    <t xml:space="preserve">                                                                                                                                                         Объекты, финансируемые за счет бюджетных средств субъекта Российской Федерации (в т.ч. иные межбюджетные трансферты из федерального бюджета)</t>
  </si>
  <si>
    <t>Таблица № 1. Перечень автомобильных дорог (участков автомобильных дорог) регионального и межмуниципального значения и планируемые мероприятия на них для достижения целевых показателей по Калужской области</t>
  </si>
  <si>
    <t xml:space="preserve">                                                                                                                                                         Объекты, финансируемые из внебюджетных источников</t>
  </si>
  <si>
    <t>ИТОГО по автомобильным дорогам регионального и межмуниципального значения Калужской агломерации</t>
  </si>
  <si>
    <t>ИТОГО по автомобильным дорогам регионального и межмуниципального значения вне Калужской агломерации</t>
  </si>
  <si>
    <t>ИТОГО по автодорогам регионального и межмуниципального значения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</si>
  <si>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</si>
  <si>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Резервные объекты, реализация мероприятий на которых возможна при условии увеличения финансирования, либо за счет экономии, возникшей в результате снижения начальной (максимальной) цены контрактов при проведении конкурсных процедур</t>
  </si>
  <si>
    <t xml:space="preserve">Итого по резервным объектам </t>
  </si>
  <si>
    <t xml:space="preserve">ИТОГО по резервным объектам </t>
  </si>
  <si>
    <t xml:space="preserve">нанесение разметки </t>
  </si>
  <si>
    <t>нанесение разметки (в рамках ремонта а/д)</t>
  </si>
  <si>
    <t>устройство светофорных объектов (в раках реконструкции а/д)</t>
  </si>
  <si>
    <t xml:space="preserve">установка дорожных знаков </t>
  </si>
  <si>
    <t>3+000</t>
  </si>
  <si>
    <t>4+970</t>
  </si>
  <si>
    <t>6+000</t>
  </si>
  <si>
    <t>7+000</t>
  </si>
  <si>
    <t>1+083</t>
  </si>
  <si>
    <t>Галкино-Сени-Дурнево</t>
  </si>
  <si>
    <t>9+459</t>
  </si>
  <si>
    <t>49+411</t>
  </si>
  <si>
    <t>Мероприятия по модернизации дорожной инфраструктуры в городских агломерациях</t>
  </si>
  <si>
    <t>Строительство</t>
  </si>
  <si>
    <t>"Малоярославец-Боровск"-Комлево-Роща</t>
  </si>
  <si>
    <t>"Козельск - Кудринская"-Бурнашево</t>
  </si>
  <si>
    <t>"Окружная дорога г.Калуги - Детчино - Малоярославец"- Ерденево</t>
  </si>
  <si>
    <t>"Верея-Медынь"-Брюхово-Никитское - Передел</t>
  </si>
  <si>
    <t>Волковское- Некрасово</t>
  </si>
  <si>
    <t>«Калуга - Ферзиково – Таруса – Серпухов» - Вознесенье</t>
  </si>
  <si>
    <t>Кольцово-Михайловка</t>
  </si>
  <si>
    <t>70+000</t>
  </si>
  <si>
    <t>в том числе:</t>
  </si>
  <si>
    <t>иные источники финансирования</t>
  </si>
  <si>
    <t>средства в рамках реализации регионального проекта</t>
  </si>
  <si>
    <t>3+303</t>
  </si>
  <si>
    <t>6+900</t>
  </si>
  <si>
    <t>8+160</t>
  </si>
  <si>
    <t>3+920</t>
  </si>
  <si>
    <t>26+185</t>
  </si>
  <si>
    <t>Белоусово-Высокиничи-Серпухов</t>
  </si>
  <si>
    <t>0+489</t>
  </si>
  <si>
    <t>11+935</t>
  </si>
  <si>
    <t>ремонт ремонт покрытия проезжей части</t>
  </si>
  <si>
    <t xml:space="preserve">* потребность средств федерального бюджета для реализации объекта </t>
  </si>
  <si>
    <t>ремонт покрытия проезжей части**</t>
  </si>
  <si>
    <t>Начало участка мкр. Анненки Конец участка а/д Р-132 Калуга-Тула -Михайлов-Рязань</t>
  </si>
  <si>
    <r>
      <t xml:space="preserve">Автомобильные дороги регионального и межмуниципального значения </t>
    </r>
    <r>
      <rPr>
        <b/>
        <u/>
        <sz val="12"/>
        <rFont val="Times New Roman"/>
        <family val="1"/>
        <charset val="204"/>
      </rPr>
      <t>Калужской агломерации</t>
    </r>
  </si>
  <si>
    <r>
      <t xml:space="preserve">ИТОГО по автомобильным дорогам регионального и межмуниципального значения </t>
    </r>
    <r>
      <rPr>
        <b/>
        <u/>
        <sz val="12"/>
        <rFont val="Times New Roman"/>
        <family val="1"/>
        <charset val="204"/>
      </rPr>
      <t>Калужской агломерации</t>
    </r>
  </si>
  <si>
    <r>
      <t xml:space="preserve">Автомобильные дороги регионального и межмуниципального </t>
    </r>
    <r>
      <rPr>
        <b/>
        <u/>
        <sz val="11"/>
        <rFont val="Times New Roman"/>
        <family val="1"/>
        <charset val="204"/>
      </rPr>
      <t>вне Калужской агломерации</t>
    </r>
  </si>
  <si>
    <r>
      <t xml:space="preserve">ИТОГО по автомобильным дорогам регионального и межмуниципального значения </t>
    </r>
    <r>
      <rPr>
        <b/>
        <u/>
        <sz val="12"/>
        <rFont val="Times New Roman"/>
        <family val="1"/>
        <charset val="204"/>
      </rPr>
      <t>вне Калужской агломерации</t>
    </r>
  </si>
  <si>
    <t>Газопровод - Козино</t>
  </si>
  <si>
    <t>29 ОП МЗ 29Н-014</t>
  </si>
  <si>
    <t>"Бабынино - Воротынск - поворот Росва" - Пятницкое - Никольское</t>
  </si>
  <si>
    <t>29 ОП МЗ 29Н-019</t>
  </si>
  <si>
    <t>6+280</t>
  </si>
  <si>
    <t>11+185</t>
  </si>
  <si>
    <t>9+957</t>
  </si>
  <si>
    <t>21+200</t>
  </si>
  <si>
    <t>4+340</t>
  </si>
  <si>
    <t>4+680</t>
  </si>
  <si>
    <t xml:space="preserve">На участках км 24+400 - км 26+200, 26+800 - км 27+960, км 42+380-км 51+907  </t>
  </si>
  <si>
    <t>На участках                         км 51+907-км 52+400, км 54+800 - км 55+420</t>
  </si>
  <si>
    <t xml:space="preserve">Адрес участка по проектной документации </t>
  </si>
  <si>
    <t>На участках                        км 0+000- км 4+690, км 5+800- км 7+110</t>
  </si>
  <si>
    <t>На участках                                                     км 7+110-км 8+668, км 9+750-км 15+192</t>
  </si>
  <si>
    <t>8+897</t>
  </si>
  <si>
    <t>25+000</t>
  </si>
  <si>
    <t>Разработка документов комплексного развития транспортной инфраструктуры</t>
  </si>
  <si>
    <t>"Бабынино - Сабуровщино - Газопровод" - Утешево</t>
  </si>
  <si>
    <t>40+310</t>
  </si>
  <si>
    <t>44+720</t>
  </si>
  <si>
    <t>29 ОП МЗ 29Н-002</t>
  </si>
  <si>
    <t>28+284</t>
  </si>
  <si>
    <t>31+000</t>
  </si>
  <si>
    <t>19+600</t>
  </si>
  <si>
    <t>8+060</t>
  </si>
  <si>
    <t>6+931</t>
  </si>
  <si>
    <t>На участках                    с км 8+897 по км 9+020, с км 9+040 по км 10+150</t>
  </si>
  <si>
    <t>11+850</t>
  </si>
  <si>
    <t>11+138</t>
  </si>
  <si>
    <t>**В период 2021-2023 годов выполнение работ по содержанию автомобильной дороги в рамках реализации государственного контракта на принципах контракта жизненного цикла</t>
  </si>
  <si>
    <t>**В период 2020-2023 годов выполнение работ по содержанию автомобильной дороги в рамках реализации государственного контракта на принципах контракта жизненного цикла</t>
  </si>
  <si>
    <t>установка барьерного ограждения</t>
  </si>
  <si>
    <t>установка воотводных лотков</t>
  </si>
  <si>
    <t>73+917</t>
  </si>
  <si>
    <t>10+722</t>
  </si>
  <si>
    <t>39+650</t>
  </si>
  <si>
    <t>42+000</t>
  </si>
  <si>
    <t>5+200</t>
  </si>
  <si>
    <t>7+825</t>
  </si>
  <si>
    <t>29 ОП МЗ 29Н-036</t>
  </si>
  <si>
    <t>Мосальск - Барятино - "Брянск - Людиново- Киров" - А-130 "Москва - Малоярославец - Рославль" - Добрая</t>
  </si>
  <si>
    <t>6+120</t>
  </si>
  <si>
    <t>**В период 2021-2024 годов выполнение работ по содержанию автомобильной дороги в рамках реализации государственного контракта на принципах контракта жизненного цикла</t>
  </si>
  <si>
    <t>5+000</t>
  </si>
  <si>
    <t>15+940</t>
  </si>
  <si>
    <t>6+440</t>
  </si>
  <si>
    <t>2+260</t>
  </si>
  <si>
    <t>12+130</t>
  </si>
  <si>
    <t>17+330</t>
  </si>
  <si>
    <t>8+919</t>
  </si>
  <si>
    <t>Мокрое-Закрутое</t>
  </si>
  <si>
    <t>10+269</t>
  </si>
  <si>
    <t>М-3 "Украина"-Перемышль"-Кумовское-Рындино</t>
  </si>
  <si>
    <t>29 ОП МЗ 29Н-025</t>
  </si>
  <si>
    <t>3+520</t>
  </si>
  <si>
    <t>10+520</t>
  </si>
  <si>
    <t>15+097</t>
  </si>
  <si>
    <t>3+531</t>
  </si>
  <si>
    <t>26+625</t>
  </si>
  <si>
    <t>12+150</t>
  </si>
  <si>
    <t>Таруса-Лопатино-Барятино-Роща</t>
  </si>
  <si>
    <t>14+040</t>
  </si>
  <si>
    <t>"Калуга-Медынь"-Кондрово-Галкино-Острожное -Барсуки"</t>
  </si>
  <si>
    <t>29 ОП МЗ 29Н-528</t>
  </si>
  <si>
    <t>«Козельск-Киреевское-Чернышено»-Юрино-граница Тульской области</t>
  </si>
  <si>
    <t>29 ОП МЗ 29Н-532</t>
  </si>
  <si>
    <t>8+600</t>
  </si>
  <si>
    <t>2+992</t>
  </si>
  <si>
    <t>3+570</t>
  </si>
  <si>
    <t>10+376</t>
  </si>
  <si>
    <t>16+492</t>
  </si>
  <si>
    <t>3+008</t>
  </si>
  <si>
    <t>3+498</t>
  </si>
  <si>
    <t xml:space="preserve">Обход г. Калуги на участке Анненки - Жерело </t>
  </si>
  <si>
    <t>45+325</t>
  </si>
  <si>
    <t>21+730</t>
  </si>
  <si>
    <t>12+500</t>
  </si>
  <si>
    <t>34+540</t>
  </si>
  <si>
    <t>36+347</t>
  </si>
  <si>
    <t>1+900</t>
  </si>
  <si>
    <t>5+033</t>
  </si>
  <si>
    <t>2+460</t>
  </si>
  <si>
    <t>12+114</t>
  </si>
  <si>
    <t>"М-3 "Украина" - Перемышль" - Борищево</t>
  </si>
  <si>
    <t>4+236</t>
  </si>
  <si>
    <t>22+800</t>
  </si>
  <si>
    <t>15+441</t>
  </si>
  <si>
    <t>4+458</t>
  </si>
  <si>
    <t>39+471</t>
  </si>
  <si>
    <t>39+721</t>
  </si>
  <si>
    <t>74+103</t>
  </si>
  <si>
    <t>85+0007</t>
  </si>
  <si>
    <t>На участках                         км 74+103-км 84+300, км 84+500 - км 85+000</t>
  </si>
  <si>
    <t>"Вязьма-Калуга"-Юхнов</t>
  </si>
  <si>
    <t>2+804</t>
  </si>
  <si>
    <t>М-3 "Украина"-Брынь</t>
  </si>
  <si>
    <t>29 ОП РЗ 29К-029</t>
  </si>
  <si>
    <t>6+840</t>
  </si>
  <si>
    <t>8+440</t>
  </si>
  <si>
    <t>3 922 050,51*</t>
  </si>
  <si>
    <t>11+485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</si>
</sst>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"/>
    <numFmt numFmtId="166" formatCode="#,##0.000"/>
    <numFmt numFmtId="167" formatCode="0.0"/>
    <numFmt numFmtId="170" formatCode="0.00000"/>
    <numFmt numFmtId="171" formatCode="#,##0.00000"/>
    <numFmt numFmtId="172" formatCode="#,##0.0000"/>
    <numFmt numFmtId="175" formatCode="#,##0.000000"/>
  </numFmts>
  <fonts count="32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name val="Arial Cyr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.5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21" fillId="0" borderId="0"/>
    <xf numFmtId="0" fontId="21" fillId="0" borderId="0"/>
  </cellStyleXfs>
  <cellXfs count="2075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2" xfId="0" applyFont="1" applyBorder="1"/>
    <xf numFmtId="0" fontId="6" fillId="7" borderId="0" xfId="0" applyFont="1" applyFill="1"/>
    <xf numFmtId="0" fontId="6" fillId="0" borderId="0" xfId="0" applyFont="1" applyFill="1"/>
    <xf numFmtId="0" fontId="7" fillId="2" borderId="0" xfId="1" applyFont="1" applyFill="1" applyBorder="1" applyAlignment="1">
      <alignment vertical="center"/>
    </xf>
    <xf numFmtId="0" fontId="4" fillId="0" borderId="0" xfId="0" applyFont="1"/>
    <xf numFmtId="0" fontId="6" fillId="0" borderId="2" xfId="0" applyFont="1" applyBorder="1" applyAlignment="1"/>
    <xf numFmtId="0" fontId="12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 wrapText="1"/>
    </xf>
    <xf numFmtId="166" fontId="6" fillId="10" borderId="13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9" fillId="10" borderId="2" xfId="0" applyNumberFormat="1" applyFont="1" applyFill="1" applyBorder="1" applyAlignment="1">
      <alignment horizontal="center" vertical="center" wrapText="1"/>
    </xf>
    <xf numFmtId="166" fontId="9" fillId="10" borderId="2" xfId="5" applyNumberFormat="1" applyFont="1" applyFill="1" applyBorder="1" applyAlignment="1">
      <alignment horizontal="center" vertical="center" wrapText="1" shrinkToFit="1"/>
    </xf>
    <xf numFmtId="3" fontId="9" fillId="4" borderId="1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5" fontId="6" fillId="0" borderId="0" xfId="0" applyNumberFormat="1" applyFont="1"/>
    <xf numFmtId="164" fontId="10" fillId="10" borderId="2" xfId="0" applyNumberFormat="1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/>
    <xf numFmtId="0" fontId="6" fillId="10" borderId="0" xfId="0" applyFont="1" applyFill="1"/>
    <xf numFmtId="0" fontId="15" fillId="10" borderId="2" xfId="0" applyFont="1" applyFill="1" applyBorder="1" applyAlignment="1">
      <alignment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0" fillId="10" borderId="13" xfId="0" applyNumberFormat="1" applyFont="1" applyFill="1" applyBorder="1" applyAlignment="1">
      <alignment horizontal="center" vertical="center" wrapText="1"/>
    </xf>
    <xf numFmtId="166" fontId="20" fillId="11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0" fillId="9" borderId="2" xfId="0" applyFont="1" applyFill="1" applyBorder="1" applyAlignment="1">
      <alignment vertical="center" wrapText="1"/>
    </xf>
    <xf numFmtId="166" fontId="20" fillId="9" borderId="2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164" fontId="12" fillId="9" borderId="2" xfId="0" applyNumberFormat="1" applyFont="1" applyFill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/>
    <xf numFmtId="0" fontId="10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165" fontId="10" fillId="10" borderId="2" xfId="0" applyNumberFormat="1" applyFont="1" applyFill="1" applyBorder="1" applyAlignment="1">
      <alignment horizontal="center" vertical="center"/>
    </xf>
    <xf numFmtId="0" fontId="6" fillId="0" borderId="12" xfId="0" applyFont="1" applyBorder="1" applyAlignment="1"/>
    <xf numFmtId="165" fontId="16" fillId="10" borderId="2" xfId="0" applyNumberFormat="1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center" vertical="center"/>
    </xf>
    <xf numFmtId="0" fontId="6" fillId="10" borderId="0" xfId="0" applyFont="1" applyFill="1" applyBorder="1"/>
    <xf numFmtId="165" fontId="4" fillId="0" borderId="2" xfId="0" applyNumberFormat="1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65" fontId="4" fillId="10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66" fontId="10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164" fontId="11" fillId="10" borderId="2" xfId="0" applyNumberFormat="1" applyFont="1" applyFill="1" applyBorder="1" applyAlignment="1">
      <alignment horizontal="center" vertical="center" wrapText="1"/>
    </xf>
    <xf numFmtId="165" fontId="11" fillId="10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3" fontId="9" fillId="10" borderId="13" xfId="2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/>
    <xf numFmtId="0" fontId="4" fillId="10" borderId="2" xfId="0" applyFont="1" applyFill="1" applyBorder="1" applyAlignment="1">
      <alignment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6" fillId="10" borderId="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165" fontId="15" fillId="10" borderId="2" xfId="0" applyNumberFormat="1" applyFont="1" applyFill="1" applyBorder="1" applyAlignment="1">
      <alignment vertical="center" wrapText="1"/>
    </xf>
    <xf numFmtId="165" fontId="16" fillId="10" borderId="2" xfId="0" applyNumberFormat="1" applyFont="1" applyFill="1" applyBorder="1" applyAlignment="1">
      <alignment vertical="center" wrapText="1"/>
    </xf>
    <xf numFmtId="165" fontId="15" fillId="4" borderId="2" xfId="0" applyNumberFormat="1" applyFont="1" applyFill="1" applyBorder="1" applyAlignment="1">
      <alignment horizontal="left" vertical="center" wrapText="1"/>
    </xf>
    <xf numFmtId="0" fontId="15" fillId="0" borderId="0" xfId="0" applyFont="1"/>
    <xf numFmtId="4" fontId="12" fillId="1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6" fillId="4" borderId="2" xfId="0" applyFont="1" applyFill="1" applyBorder="1"/>
    <xf numFmtId="0" fontId="6" fillId="4" borderId="0" xfId="0" applyFont="1" applyFill="1"/>
    <xf numFmtId="0" fontId="6" fillId="6" borderId="2" xfId="0" applyFont="1" applyFill="1" applyBorder="1"/>
    <xf numFmtId="0" fontId="6" fillId="0" borderId="13" xfId="0" applyFont="1" applyBorder="1"/>
    <xf numFmtId="0" fontId="6" fillId="9" borderId="13" xfId="0" applyFont="1" applyFill="1" applyBorder="1"/>
    <xf numFmtId="4" fontId="4" fillId="6" borderId="2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66" fontId="9" fillId="10" borderId="2" xfId="0" applyNumberFormat="1" applyFont="1" applyFill="1" applyBorder="1" applyAlignment="1">
      <alignment horizontal="center" vertical="center" wrapText="1"/>
    </xf>
    <xf numFmtId="166" fontId="4" fillId="10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4" fontId="16" fillId="10" borderId="13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1" fontId="15" fillId="11" borderId="2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/>
    </xf>
    <xf numFmtId="0" fontId="17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 wrapText="1"/>
    </xf>
    <xf numFmtId="0" fontId="4" fillId="10" borderId="2" xfId="0" applyFont="1" applyFill="1" applyBorder="1"/>
    <xf numFmtId="0" fontId="16" fillId="11" borderId="3" xfId="0" applyFont="1" applyFill="1" applyBorder="1" applyAlignment="1">
      <alignment vertical="center"/>
    </xf>
    <xf numFmtId="0" fontId="15" fillId="11" borderId="6" xfId="0" applyFont="1" applyFill="1" applyBorder="1" applyAlignment="1">
      <alignment vertical="center"/>
    </xf>
    <xf numFmtId="4" fontId="3" fillId="10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16" fillId="4" borderId="2" xfId="0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10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/>
    </xf>
    <xf numFmtId="0" fontId="16" fillId="11" borderId="2" xfId="0" applyFont="1" applyFill="1" applyBorder="1" applyAlignment="1">
      <alignment vertical="center"/>
    </xf>
    <xf numFmtId="4" fontId="3" fillId="11" borderId="2" xfId="0" applyNumberFormat="1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4" fontId="3" fillId="10" borderId="2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166" fontId="12" fillId="13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165" fontId="4" fillId="10" borderId="2" xfId="0" applyNumberFormat="1" applyFont="1" applyFill="1" applyBorder="1" applyAlignment="1">
      <alignment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vertical="center" wrapText="1"/>
    </xf>
    <xf numFmtId="4" fontId="9" fillId="10" borderId="2" xfId="0" applyNumberFormat="1" applyFont="1" applyFill="1" applyBorder="1" applyAlignment="1">
      <alignment horizontal="center" vertical="center" wrapText="1"/>
    </xf>
    <xf numFmtId="166" fontId="4" fillId="10" borderId="12" xfId="0" applyNumberFormat="1" applyFont="1" applyFill="1" applyBorder="1" applyAlignment="1">
      <alignment horizontal="center" vertical="center" wrapText="1"/>
    </xf>
    <xf numFmtId="4" fontId="10" fillId="10" borderId="12" xfId="0" applyNumberFormat="1" applyFont="1" applyFill="1" applyBorder="1" applyAlignment="1">
      <alignment horizontal="center" vertical="center" wrapText="1"/>
    </xf>
    <xf numFmtId="4" fontId="10" fillId="10" borderId="13" xfId="0" applyNumberFormat="1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2" fontId="19" fillId="10" borderId="13" xfId="0" applyNumberFormat="1" applyFont="1" applyFill="1" applyBorder="1" applyAlignment="1">
      <alignment vertical="center" wrapText="1"/>
    </xf>
    <xf numFmtId="0" fontId="15" fillId="11" borderId="13" xfId="0" applyFont="1" applyFill="1" applyBorder="1" applyAlignment="1">
      <alignment vertical="center"/>
    </xf>
    <xf numFmtId="4" fontId="15" fillId="10" borderId="2" xfId="0" applyNumberFormat="1" applyFont="1" applyFill="1" applyBorder="1" applyAlignment="1">
      <alignment vertical="center" wrapText="1"/>
    </xf>
    <xf numFmtId="166" fontId="18" fillId="10" borderId="13" xfId="0" applyNumberFormat="1" applyFont="1" applyFill="1" applyBorder="1" applyAlignment="1">
      <alignment horizontal="center" vertical="center" wrapText="1"/>
    </xf>
    <xf numFmtId="4" fontId="18" fillId="4" borderId="1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horizontal="center" vertical="center" wrapText="1"/>
    </xf>
    <xf numFmtId="4" fontId="18" fillId="10" borderId="19" xfId="0" applyNumberFormat="1" applyFont="1" applyFill="1" applyBorder="1" applyAlignment="1">
      <alignment vertical="center" wrapText="1"/>
    </xf>
    <xf numFmtId="0" fontId="9" fillId="10" borderId="19" xfId="0" applyFont="1" applyFill="1" applyBorder="1" applyAlignment="1">
      <alignment horizontal="center" vertical="center" wrapText="1"/>
    </xf>
    <xf numFmtId="4" fontId="18" fillId="10" borderId="24" xfId="0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4" fontId="6" fillId="10" borderId="19" xfId="0" applyNumberFormat="1" applyFont="1" applyFill="1" applyBorder="1" applyAlignment="1">
      <alignment horizontal="center" vertical="center" wrapText="1"/>
    </xf>
    <xf numFmtId="166" fontId="4" fillId="10" borderId="19" xfId="0" applyNumberFormat="1" applyFont="1" applyFill="1" applyBorder="1" applyAlignment="1">
      <alignment horizontal="center" vertical="center" wrapText="1"/>
    </xf>
    <xf numFmtId="4" fontId="6" fillId="10" borderId="24" xfId="0" applyNumberFormat="1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4" fontId="9" fillId="10" borderId="24" xfId="0" applyNumberFormat="1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6" fontId="19" fillId="10" borderId="19" xfId="0" applyNumberFormat="1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4" fontId="4" fillId="10" borderId="24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vertical="center"/>
    </xf>
    <xf numFmtId="3" fontId="15" fillId="10" borderId="24" xfId="0" applyNumberFormat="1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4" fontId="12" fillId="11" borderId="13" xfId="0" applyNumberFormat="1" applyFont="1" applyFill="1" applyBorder="1" applyAlignment="1">
      <alignment vertical="center"/>
    </xf>
    <xf numFmtId="0" fontId="12" fillId="11" borderId="13" xfId="0" applyFont="1" applyFill="1" applyBorder="1" applyAlignment="1">
      <alignment vertical="center"/>
    </xf>
    <xf numFmtId="164" fontId="18" fillId="10" borderId="19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167" fontId="18" fillId="10" borderId="24" xfId="0" applyNumberFormat="1" applyFont="1" applyFill="1" applyBorder="1" applyAlignment="1">
      <alignment horizontal="center" vertical="center" wrapText="1"/>
    </xf>
    <xf numFmtId="165" fontId="16" fillId="10" borderId="12" xfId="0" applyNumberFormat="1" applyFont="1" applyFill="1" applyBorder="1" applyAlignment="1">
      <alignment horizontal="left" vertical="center" wrapText="1"/>
    </xf>
    <xf numFmtId="166" fontId="4" fillId="10" borderId="24" xfId="0" applyNumberFormat="1" applyFont="1" applyFill="1" applyBorder="1" applyAlignment="1">
      <alignment horizontal="center" vertical="center" wrapText="1"/>
    </xf>
    <xf numFmtId="4" fontId="3" fillId="10" borderId="13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4" fontId="3" fillId="10" borderId="12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164" fontId="4" fillId="10" borderId="19" xfId="0" applyNumberFormat="1" applyFont="1" applyFill="1" applyBorder="1" applyAlignment="1">
      <alignment horizontal="center" vertical="center" wrapText="1"/>
    </xf>
    <xf numFmtId="2" fontId="18" fillId="10" borderId="24" xfId="0" applyNumberFormat="1" applyFont="1" applyFill="1" applyBorder="1" applyAlignment="1">
      <alignment horizontal="center" vertical="center" wrapText="1"/>
    </xf>
    <xf numFmtId="165" fontId="16" fillId="10" borderId="13" xfId="0" applyNumberFormat="1" applyFont="1" applyFill="1" applyBorder="1" applyAlignment="1">
      <alignment horizontal="left" vertical="center" wrapText="1"/>
    </xf>
    <xf numFmtId="165" fontId="15" fillId="10" borderId="13" xfId="0" applyNumberFormat="1" applyFont="1" applyFill="1" applyBorder="1" applyAlignment="1">
      <alignment vertical="center" wrapText="1"/>
    </xf>
    <xf numFmtId="4" fontId="10" fillId="10" borderId="24" xfId="0" applyNumberFormat="1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vertical="center" wrapText="1"/>
    </xf>
    <xf numFmtId="0" fontId="15" fillId="10" borderId="2" xfId="0" applyFont="1" applyFill="1" applyBorder="1" applyAlignment="1"/>
    <xf numFmtId="0" fontId="15" fillId="10" borderId="0" xfId="0" applyFont="1" applyFill="1"/>
    <xf numFmtId="0" fontId="15" fillId="0" borderId="2" xfId="0" applyFont="1" applyBorder="1" applyAlignment="1"/>
    <xf numFmtId="0" fontId="20" fillId="10" borderId="12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10" borderId="24" xfId="0" applyNumberFormat="1" applyFont="1" applyFill="1" applyBorder="1" applyAlignment="1">
      <alignment horizontal="center" vertical="center" wrapText="1"/>
    </xf>
    <xf numFmtId="2" fontId="4" fillId="10" borderId="7" xfId="0" applyNumberFormat="1" applyFont="1" applyFill="1" applyBorder="1" applyAlignment="1">
      <alignment vertical="center" wrapText="1"/>
    </xf>
    <xf numFmtId="2" fontId="6" fillId="10" borderId="7" xfId="0" applyNumberFormat="1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/>
    </xf>
    <xf numFmtId="0" fontId="16" fillId="11" borderId="13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16" fillId="11" borderId="12" xfId="0" applyFont="1" applyFill="1" applyBorder="1" applyAlignment="1">
      <alignment vertical="center"/>
    </xf>
    <xf numFmtId="4" fontId="10" fillId="10" borderId="19" xfId="0" applyNumberFormat="1" applyFont="1" applyFill="1" applyBorder="1" applyAlignment="1">
      <alignment horizontal="center" vertical="center" wrapText="1"/>
    </xf>
    <xf numFmtId="4" fontId="10" fillId="10" borderId="19" xfId="0" applyNumberFormat="1" applyFont="1" applyFill="1" applyBorder="1" applyAlignment="1">
      <alignment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4" fontId="3" fillId="10" borderId="19" xfId="0" applyNumberFormat="1" applyFont="1" applyFill="1" applyBorder="1" applyAlignment="1">
      <alignment horizontal="center" vertical="center" wrapText="1"/>
    </xf>
    <xf numFmtId="4" fontId="10" fillId="10" borderId="24" xfId="0" applyNumberFormat="1" applyFont="1" applyFill="1" applyBorder="1" applyAlignment="1">
      <alignment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vertical="center" wrapText="1"/>
    </xf>
    <xf numFmtId="0" fontId="15" fillId="10" borderId="19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vertical="center" wrapText="1"/>
    </xf>
    <xf numFmtId="0" fontId="15" fillId="11" borderId="19" xfId="0" applyFont="1" applyFill="1" applyBorder="1" applyAlignment="1">
      <alignment vertical="center"/>
    </xf>
    <xf numFmtId="0" fontId="15" fillId="11" borderId="24" xfId="0" applyFont="1" applyFill="1" applyBorder="1" applyAlignment="1">
      <alignment vertical="center"/>
    </xf>
    <xf numFmtId="0" fontId="3" fillId="10" borderId="11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3" fontId="15" fillId="10" borderId="15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4" fontId="12" fillId="10" borderId="13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4" fontId="12" fillId="10" borderId="12" xfId="0" applyNumberFormat="1" applyFont="1" applyFill="1" applyBorder="1" applyAlignment="1">
      <alignment horizontal="center" vertical="center" wrapText="1"/>
    </xf>
    <xf numFmtId="165" fontId="4" fillId="10" borderId="19" xfId="0" applyNumberFormat="1" applyFont="1" applyFill="1" applyBorder="1" applyAlignment="1">
      <alignment horizontal="center" vertical="center" wrapText="1"/>
    </xf>
    <xf numFmtId="164" fontId="10" fillId="10" borderId="19" xfId="0" applyNumberFormat="1" applyFont="1" applyFill="1" applyBorder="1" applyAlignment="1">
      <alignment horizontal="center" vertical="center" wrapText="1"/>
    </xf>
    <xf numFmtId="164" fontId="4" fillId="10" borderId="24" xfId="0" applyNumberFormat="1" applyFont="1" applyFill="1" applyBorder="1" applyAlignment="1">
      <alignment horizontal="center" vertical="center" wrapText="1"/>
    </xf>
    <xf numFmtId="165" fontId="4" fillId="10" borderId="24" xfId="0" applyNumberFormat="1" applyFont="1" applyFill="1" applyBorder="1" applyAlignment="1">
      <alignment horizontal="center" vertical="center" wrapText="1"/>
    </xf>
    <xf numFmtId="1" fontId="10" fillId="10" borderId="24" xfId="0" applyNumberFormat="1" applyFont="1" applyFill="1" applyBorder="1" applyAlignment="1">
      <alignment horizontal="center" vertical="center" wrapText="1"/>
    </xf>
    <xf numFmtId="4" fontId="12" fillId="11" borderId="23" xfId="0" applyNumberFormat="1" applyFont="1" applyFill="1" applyBorder="1" applyAlignment="1">
      <alignment vertical="center"/>
    </xf>
    <xf numFmtId="0" fontId="12" fillId="11" borderId="23" xfId="0" applyFont="1" applyFill="1" applyBorder="1" applyAlignment="1">
      <alignment vertical="center"/>
    </xf>
    <xf numFmtId="0" fontId="12" fillId="11" borderId="24" xfId="0" applyFont="1" applyFill="1" applyBorder="1" applyAlignment="1">
      <alignment vertical="center"/>
    </xf>
    <xf numFmtId="0" fontId="20" fillId="11" borderId="24" xfId="0" applyFont="1" applyFill="1" applyBorder="1" applyAlignment="1">
      <alignment vertical="center"/>
    </xf>
    <xf numFmtId="4" fontId="12" fillId="11" borderId="24" xfId="0" applyNumberFormat="1" applyFont="1" applyFill="1" applyBorder="1" applyAlignment="1">
      <alignment vertical="center"/>
    </xf>
    <xf numFmtId="0" fontId="18" fillId="10" borderId="24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vertical="center" wrapText="1"/>
    </xf>
    <xf numFmtId="164" fontId="15" fillId="11" borderId="19" xfId="0" applyNumberFormat="1" applyFont="1" applyFill="1" applyBorder="1" applyAlignment="1">
      <alignment horizontal="center" vertical="center"/>
    </xf>
    <xf numFmtId="3" fontId="18" fillId="10" borderId="23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/>
    <xf numFmtId="0" fontId="12" fillId="11" borderId="12" xfId="0" applyFont="1" applyFill="1" applyBorder="1" applyAlignment="1">
      <alignment vertical="center"/>
    </xf>
    <xf numFmtId="0" fontId="11" fillId="10" borderId="10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/>
    <xf numFmtId="166" fontId="4" fillId="7" borderId="2" xfId="0" applyNumberFormat="1" applyFont="1" applyFill="1" applyBorder="1" applyAlignment="1">
      <alignment horizontal="center" vertical="center" wrapText="1"/>
    </xf>
    <xf numFmtId="166" fontId="12" fillId="10" borderId="12" xfId="0" applyNumberFormat="1" applyFont="1" applyFill="1" applyBorder="1" applyAlignment="1">
      <alignment horizontal="center" vertical="center" wrapText="1"/>
    </xf>
    <xf numFmtId="4" fontId="16" fillId="10" borderId="12" xfId="0" applyNumberFormat="1" applyFont="1" applyFill="1" applyBorder="1" applyAlignment="1">
      <alignment horizontal="center" vertical="center" wrapText="1"/>
    </xf>
    <xf numFmtId="164" fontId="11" fillId="10" borderId="19" xfId="0" applyNumberFormat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167" fontId="11" fillId="10" borderId="2" xfId="0" applyNumberFormat="1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/>
    </xf>
    <xf numFmtId="4" fontId="16" fillId="10" borderId="2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7" fillId="0" borderId="0" xfId="0" applyFont="1"/>
    <xf numFmtId="166" fontId="4" fillId="10" borderId="13" xfId="0" applyNumberFormat="1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vertical="center" wrapText="1"/>
    </xf>
    <xf numFmtId="4" fontId="18" fillId="4" borderId="21" xfId="0" applyNumberFormat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vertical="center" wrapText="1"/>
    </xf>
    <xf numFmtId="4" fontId="15" fillId="10" borderId="3" xfId="0" applyNumberFormat="1" applyFont="1" applyFill="1" applyBorder="1" applyAlignment="1">
      <alignment vertical="center" wrapText="1"/>
    </xf>
    <xf numFmtId="166" fontId="18" fillId="10" borderId="23" xfId="0" applyNumberFormat="1" applyFont="1" applyFill="1" applyBorder="1" applyAlignment="1">
      <alignment horizontal="center" vertical="center" wrapText="1"/>
    </xf>
    <xf numFmtId="166" fontId="15" fillId="10" borderId="25" xfId="0" applyNumberFormat="1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2" xfId="0" applyFont="1" applyFill="1" applyBorder="1"/>
    <xf numFmtId="4" fontId="12" fillId="11" borderId="12" xfId="0" applyNumberFormat="1" applyFont="1" applyFill="1" applyBorder="1" applyAlignment="1">
      <alignment vertical="center"/>
    </xf>
    <xf numFmtId="0" fontId="20" fillId="11" borderId="12" xfId="0" applyFont="1" applyFill="1" applyBorder="1" applyAlignment="1">
      <alignment vertical="center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2" fontId="19" fillId="10" borderId="11" xfId="0" applyNumberFormat="1" applyFont="1" applyFill="1" applyBorder="1" applyAlignment="1">
      <alignment vertical="center" wrapText="1"/>
    </xf>
    <xf numFmtId="166" fontId="12" fillId="10" borderId="2" xfId="0" applyNumberFormat="1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vertical="center" wrapText="1"/>
    </xf>
    <xf numFmtId="0" fontId="4" fillId="10" borderId="0" xfId="0" applyFont="1" applyFill="1"/>
    <xf numFmtId="4" fontId="19" fillId="10" borderId="10" xfId="0" applyNumberFormat="1" applyFont="1" applyFill="1" applyBorder="1" applyAlignment="1">
      <alignment horizontal="center" vertical="center" wrapText="1"/>
    </xf>
    <xf numFmtId="2" fontId="19" fillId="10" borderId="13" xfId="0" applyNumberFormat="1" applyFont="1" applyFill="1" applyBorder="1" applyAlignment="1">
      <alignment horizontal="center" vertical="center" wrapText="1"/>
    </xf>
    <xf numFmtId="4" fontId="19" fillId="10" borderId="24" xfId="0" applyNumberFormat="1" applyFont="1" applyFill="1" applyBorder="1" applyAlignment="1">
      <alignment horizontal="center" vertical="center" wrapText="1"/>
    </xf>
    <xf numFmtId="166" fontId="18" fillId="10" borderId="25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0" fontId="4" fillId="4" borderId="13" xfId="0" applyFont="1" applyFill="1" applyBorder="1"/>
    <xf numFmtId="1" fontId="19" fillId="10" borderId="5" xfId="0" applyNumberFormat="1" applyFont="1" applyFill="1" applyBorder="1" applyAlignment="1">
      <alignment vertical="center" wrapText="1"/>
    </xf>
    <xf numFmtId="2" fontId="19" fillId="10" borderId="12" xfId="0" applyNumberFormat="1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12" borderId="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horizontal="center" vertical="center"/>
    </xf>
    <xf numFmtId="4" fontId="12" fillId="11" borderId="12" xfId="0" applyNumberFormat="1" applyFont="1" applyFill="1" applyBorder="1" applyAlignment="1">
      <alignment horizontal="center" vertical="center"/>
    </xf>
    <xf numFmtId="167" fontId="12" fillId="2" borderId="1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4" fontId="19" fillId="10" borderId="3" xfId="0" applyNumberFormat="1" applyFont="1" applyFill="1" applyBorder="1" applyAlignment="1">
      <alignment horizontal="center" vertical="center" wrapText="1"/>
    </xf>
    <xf numFmtId="4" fontId="19" fillId="10" borderId="38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10" borderId="24" xfId="0" applyNumberFormat="1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4" fontId="12" fillId="10" borderId="19" xfId="0" applyNumberFormat="1" applyFont="1" applyFill="1" applyBorder="1" applyAlignment="1">
      <alignment horizontal="center" vertical="center" wrapText="1"/>
    </xf>
    <xf numFmtId="166" fontId="9" fillId="10" borderId="19" xfId="0" applyNumberFormat="1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4" fontId="12" fillId="11" borderId="2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2" fontId="9" fillId="10" borderId="19" xfId="0" applyNumberFormat="1" applyFont="1" applyFill="1" applyBorder="1" applyAlignment="1">
      <alignment vertical="center" wrapText="1"/>
    </xf>
    <xf numFmtId="2" fontId="9" fillId="10" borderId="24" xfId="0" applyNumberFormat="1" applyFont="1" applyFill="1" applyBorder="1" applyAlignment="1">
      <alignment vertical="center" wrapText="1"/>
    </xf>
    <xf numFmtId="4" fontId="9" fillId="10" borderId="13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4" fontId="9" fillId="10" borderId="1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/>
    </xf>
    <xf numFmtId="3" fontId="12" fillId="9" borderId="2" xfId="0" applyNumberFormat="1" applyFont="1" applyFill="1" applyBorder="1" applyAlignment="1">
      <alignment horizontal="center" vertical="center" wrapText="1"/>
    </xf>
    <xf numFmtId="3" fontId="12" fillId="9" borderId="2" xfId="0" applyNumberFormat="1" applyFont="1" applyFill="1" applyBorder="1" applyAlignment="1">
      <alignment vertical="center" wrapText="1"/>
    </xf>
    <xf numFmtId="0" fontId="16" fillId="9" borderId="2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166" fontId="12" fillId="10" borderId="14" xfId="0" applyNumberFormat="1" applyFont="1" applyFill="1" applyBorder="1" applyAlignment="1">
      <alignment horizontal="center" vertical="center" wrapText="1"/>
    </xf>
    <xf numFmtId="3" fontId="12" fillId="10" borderId="14" xfId="0" applyNumberFormat="1" applyFont="1" applyFill="1" applyBorder="1" applyAlignment="1">
      <alignment horizontal="center" vertical="center" wrapText="1"/>
    </xf>
    <xf numFmtId="166" fontId="12" fillId="10" borderId="4" xfId="0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vertical="center" wrapText="1"/>
    </xf>
    <xf numFmtId="0" fontId="12" fillId="10" borderId="4" xfId="0" applyFont="1" applyFill="1" applyBorder="1" applyAlignment="1">
      <alignment vertical="center" wrapText="1"/>
    </xf>
    <xf numFmtId="0" fontId="12" fillId="10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10" borderId="8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vertical="center" wrapText="1"/>
    </xf>
    <xf numFmtId="0" fontId="12" fillId="12" borderId="3" xfId="0" applyFont="1" applyFill="1" applyBorder="1" applyAlignment="1">
      <alignment vertical="center"/>
    </xf>
    <xf numFmtId="4" fontId="12" fillId="11" borderId="2" xfId="0" applyNumberFormat="1" applyFont="1" applyFill="1" applyBorder="1" applyAlignment="1">
      <alignment horizontal="center" vertical="center"/>
    </xf>
    <xf numFmtId="4" fontId="3" fillId="11" borderId="2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164" fontId="9" fillId="10" borderId="2" xfId="0" applyNumberFormat="1" applyFont="1" applyFill="1" applyBorder="1" applyAlignment="1">
      <alignment horizontal="center" vertical="center" wrapText="1"/>
    </xf>
    <xf numFmtId="1" fontId="9" fillId="10" borderId="2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 wrapText="1"/>
    </xf>
    <xf numFmtId="3" fontId="18" fillId="10" borderId="24" xfId="0" applyNumberFormat="1" applyFont="1" applyFill="1" applyBorder="1" applyAlignment="1">
      <alignment horizontal="center" vertical="center" wrapText="1"/>
    </xf>
    <xf numFmtId="172" fontId="12" fillId="10" borderId="2" xfId="0" applyNumberFormat="1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4" fontId="15" fillId="4" borderId="13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vertical="center" wrapText="1"/>
    </xf>
    <xf numFmtId="166" fontId="12" fillId="10" borderId="2" xfId="0" applyNumberFormat="1" applyFont="1" applyFill="1" applyBorder="1" applyAlignment="1">
      <alignment vertical="center" wrapText="1"/>
    </xf>
    <xf numFmtId="0" fontId="16" fillId="10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4" fontId="12" fillId="10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11" borderId="7" xfId="0" applyFont="1" applyFill="1" applyBorder="1" applyAlignment="1">
      <alignment vertical="center"/>
    </xf>
    <xf numFmtId="167" fontId="12" fillId="11" borderId="2" xfId="0" applyNumberFormat="1" applyFont="1" applyFill="1" applyBorder="1" applyAlignment="1">
      <alignment horizontal="center" vertical="center"/>
    </xf>
    <xf numFmtId="165" fontId="12" fillId="11" borderId="2" xfId="0" applyNumberFormat="1" applyFont="1" applyFill="1" applyBorder="1" applyAlignment="1">
      <alignment horizontal="center" vertical="center" wrapText="1"/>
    </xf>
    <xf numFmtId="4" fontId="12" fillId="11" borderId="13" xfId="0" applyNumberFormat="1" applyFont="1" applyFill="1" applyBorder="1" applyAlignment="1">
      <alignment horizontal="center" vertical="center"/>
    </xf>
    <xf numFmtId="4" fontId="3" fillId="11" borderId="13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5" fontId="12" fillId="9" borderId="2" xfId="0" applyNumberFormat="1" applyFont="1" applyFill="1" applyBorder="1" applyAlignment="1">
      <alignment vertical="center" wrapText="1"/>
    </xf>
    <xf numFmtId="165" fontId="16" fillId="9" borderId="2" xfId="0" applyNumberFormat="1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4" fontId="20" fillId="2" borderId="2" xfId="0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vertical="center"/>
    </xf>
    <xf numFmtId="4" fontId="17" fillId="11" borderId="2" xfId="0" applyNumberFormat="1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vertical="center"/>
    </xf>
    <xf numFmtId="2" fontId="11" fillId="10" borderId="2" xfId="0" applyNumberFormat="1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vertical="center" wrapText="1"/>
    </xf>
    <xf numFmtId="166" fontId="16" fillId="11" borderId="2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4" fontId="16" fillId="11" borderId="2" xfId="0" applyNumberFormat="1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 wrapText="1"/>
    </xf>
    <xf numFmtId="2" fontId="9" fillId="10" borderId="2" xfId="0" applyNumberFormat="1" applyFont="1" applyFill="1" applyBorder="1" applyAlignment="1">
      <alignment vertical="center" wrapText="1"/>
    </xf>
    <xf numFmtId="164" fontId="11" fillId="10" borderId="7" xfId="0" applyNumberFormat="1" applyFont="1" applyFill="1" applyBorder="1" applyAlignment="1">
      <alignment horizontal="center" vertical="center" wrapText="1"/>
    </xf>
    <xf numFmtId="167" fontId="11" fillId="10" borderId="7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vertical="center" wrapText="1"/>
    </xf>
    <xf numFmtId="164" fontId="30" fillId="9" borderId="13" xfId="0" applyNumberFormat="1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vertical="center" wrapText="1"/>
    </xf>
    <xf numFmtId="165" fontId="30" fillId="9" borderId="13" xfId="0" applyNumberFormat="1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center" vertical="center" wrapText="1"/>
    </xf>
    <xf numFmtId="166" fontId="6" fillId="4" borderId="12" xfId="0" applyNumberFormat="1" applyFont="1" applyFill="1" applyBorder="1" applyAlignment="1">
      <alignment horizontal="center" vertical="center" wrapText="1"/>
    </xf>
    <xf numFmtId="4" fontId="18" fillId="10" borderId="31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vertical="center"/>
    </xf>
    <xf numFmtId="4" fontId="12" fillId="11" borderId="15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6" fillId="11" borderId="24" xfId="0" applyFont="1" applyFill="1" applyBorder="1" applyAlignment="1">
      <alignment vertical="center"/>
    </xf>
    <xf numFmtId="0" fontId="4" fillId="11" borderId="23" xfId="0" applyFont="1" applyFill="1" applyBorder="1" applyAlignment="1">
      <alignment horizontal="center" vertical="center"/>
    </xf>
    <xf numFmtId="4" fontId="4" fillId="10" borderId="3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165" fontId="16" fillId="10" borderId="12" xfId="0" applyNumberFormat="1" applyFont="1" applyFill="1" applyBorder="1" applyAlignment="1">
      <alignment horizontal="center" vertical="center" wrapText="1"/>
    </xf>
    <xf numFmtId="4" fontId="15" fillId="10" borderId="8" xfId="0" applyNumberFormat="1" applyFont="1" applyFill="1" applyBorder="1" applyAlignment="1">
      <alignment horizontal="center" vertical="center" wrapText="1"/>
    </xf>
    <xf numFmtId="2" fontId="19" fillId="10" borderId="3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vertical="center" wrapText="1"/>
    </xf>
    <xf numFmtId="4" fontId="15" fillId="10" borderId="10" xfId="0" applyNumberFormat="1" applyFont="1" applyFill="1" applyBorder="1" applyAlignment="1">
      <alignment horizontal="center" vertical="center" wrapText="1"/>
    </xf>
    <xf numFmtId="4" fontId="15" fillId="10" borderId="3" xfId="0" applyNumberFormat="1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19" fillId="10" borderId="11" xfId="0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wrapText="1"/>
    </xf>
    <xf numFmtId="4" fontId="19" fillId="10" borderId="13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9" fillId="10" borderId="12" xfId="0" applyNumberFormat="1" applyFont="1" applyFill="1" applyBorder="1" applyAlignment="1">
      <alignment horizontal="center" vertical="center" wrapText="1"/>
    </xf>
    <xf numFmtId="4" fontId="18" fillId="10" borderId="2" xfId="0" applyNumberFormat="1" applyFont="1" applyFill="1" applyBorder="1" applyAlignment="1">
      <alignment vertical="center" wrapText="1"/>
    </xf>
    <xf numFmtId="4" fontId="18" fillId="10" borderId="47" xfId="0" applyNumberFormat="1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4" fontId="15" fillId="10" borderId="36" xfId="0" applyNumberFormat="1" applyFont="1" applyFill="1" applyBorder="1" applyAlignment="1">
      <alignment horizontal="center" vertical="center" wrapText="1"/>
    </xf>
    <xf numFmtId="2" fontId="11" fillId="10" borderId="19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/>
    </xf>
    <xf numFmtId="2" fontId="11" fillId="10" borderId="23" xfId="0" applyNumberFormat="1" applyFont="1" applyFill="1" applyBorder="1" applyAlignment="1">
      <alignment horizontal="center" vertical="center" wrapText="1"/>
    </xf>
    <xf numFmtId="4" fontId="11" fillId="10" borderId="2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vertical="center" wrapText="1"/>
    </xf>
    <xf numFmtId="2" fontId="15" fillId="10" borderId="11" xfId="0" applyNumberFormat="1" applyFont="1" applyFill="1" applyBorder="1" applyAlignment="1">
      <alignment vertical="center" wrapText="1"/>
    </xf>
    <xf numFmtId="165" fontId="15" fillId="4" borderId="12" xfId="0" applyNumberFormat="1" applyFont="1" applyFill="1" applyBorder="1" applyAlignment="1">
      <alignment horizontal="left" vertical="center" wrapText="1"/>
    </xf>
    <xf numFmtId="3" fontId="9" fillId="4" borderId="12" xfId="2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2" xfId="0" applyNumberFormat="1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vertical="center" wrapText="1"/>
    </xf>
    <xf numFmtId="4" fontId="4" fillId="10" borderId="3" xfId="0" applyNumberFormat="1" applyFont="1" applyFill="1" applyBorder="1" applyAlignment="1">
      <alignment horizontal="center" vertical="center" wrapText="1"/>
    </xf>
    <xf numFmtId="3" fontId="9" fillId="10" borderId="15" xfId="0" applyNumberFormat="1" applyFont="1" applyFill="1" applyBorder="1" applyAlignment="1">
      <alignment horizontal="center" vertical="center"/>
    </xf>
    <xf numFmtId="166" fontId="4" fillId="4" borderId="13" xfId="0" applyNumberFormat="1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172" fontId="15" fillId="10" borderId="19" xfId="0" applyNumberFormat="1" applyFont="1" applyFill="1" applyBorder="1" applyAlignment="1">
      <alignment horizontal="center" vertical="center" wrapText="1"/>
    </xf>
    <xf numFmtId="2" fontId="10" fillId="10" borderId="1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0" fillId="1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1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6" fillId="10" borderId="19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10" borderId="0" xfId="0" applyFont="1" applyFill="1" applyBorder="1" applyAlignment="1">
      <alignment vertical="center" wrapText="1"/>
    </xf>
    <xf numFmtId="2" fontId="10" fillId="1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0" fillId="10" borderId="2" xfId="0" applyNumberFormat="1" applyFont="1" applyFill="1" applyBorder="1" applyAlignment="1">
      <alignment horizontal="center" vertical="center" wrapText="1"/>
    </xf>
    <xf numFmtId="2" fontId="10" fillId="10" borderId="24" xfId="0" applyNumberFormat="1" applyFont="1" applyFill="1" applyBorder="1" applyAlignment="1">
      <alignment horizontal="center" vertical="center" wrapText="1"/>
    </xf>
    <xf numFmtId="2" fontId="10" fillId="1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20" fillId="0" borderId="0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71" fontId="15" fillId="10" borderId="2" xfId="0" applyNumberFormat="1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165" fontId="4" fillId="10" borderId="13" xfId="0" applyNumberFormat="1" applyFont="1" applyFill="1" applyBorder="1" applyAlignment="1">
      <alignment horizontal="center" vertical="center" wrapText="1"/>
    </xf>
    <xf numFmtId="4" fontId="30" fillId="9" borderId="13" xfId="0" applyNumberFormat="1" applyFont="1" applyFill="1" applyBorder="1" applyAlignment="1">
      <alignment horizontal="center" vertical="center" wrapText="1"/>
    </xf>
    <xf numFmtId="171" fontId="4" fillId="10" borderId="3" xfId="1" applyNumberFormat="1" applyFont="1" applyFill="1" applyBorder="1" applyAlignment="1">
      <alignment horizontal="center" vertical="center" wrapText="1"/>
    </xf>
    <xf numFmtId="171" fontId="4" fillId="10" borderId="2" xfId="1" applyNumberFormat="1" applyFont="1" applyFill="1" applyBorder="1" applyAlignment="1">
      <alignment horizontal="center" vertical="center" wrapText="1"/>
    </xf>
    <xf numFmtId="171" fontId="4" fillId="0" borderId="2" xfId="0" applyNumberFormat="1" applyFont="1" applyFill="1" applyBorder="1" applyAlignment="1">
      <alignment horizontal="center" vertical="center" wrapText="1"/>
    </xf>
    <xf numFmtId="171" fontId="4" fillId="2" borderId="6" xfId="0" applyNumberFormat="1" applyFont="1" applyFill="1" applyBorder="1" applyAlignment="1">
      <alignment vertical="center"/>
    </xf>
    <xf numFmtId="171" fontId="12" fillId="2" borderId="12" xfId="0" applyNumberFormat="1" applyFont="1" applyFill="1" applyBorder="1" applyAlignment="1">
      <alignment horizontal="center" vertical="center"/>
    </xf>
    <xf numFmtId="171" fontId="18" fillId="10" borderId="21" xfId="0" applyNumberFormat="1" applyFont="1" applyFill="1" applyBorder="1" applyAlignment="1">
      <alignment horizontal="center" vertical="center" wrapText="1"/>
    </xf>
    <xf numFmtId="171" fontId="4" fillId="10" borderId="2" xfId="0" applyNumberFormat="1" applyFont="1" applyFill="1" applyBorder="1" applyAlignment="1">
      <alignment vertical="center" wrapText="1"/>
    </xf>
    <xf numFmtId="171" fontId="4" fillId="10" borderId="12" xfId="0" applyNumberFormat="1" applyFont="1" applyFill="1" applyBorder="1" applyAlignment="1">
      <alignment vertical="center" wrapText="1"/>
    </xf>
    <xf numFmtId="171" fontId="15" fillId="10" borderId="24" xfId="0" applyNumberFormat="1" applyFont="1" applyFill="1" applyBorder="1" applyAlignment="1">
      <alignment horizontal="center" vertical="center" wrapText="1"/>
    </xf>
    <xf numFmtId="171" fontId="12" fillId="9" borderId="2" xfId="0" applyNumberFormat="1" applyFont="1" applyFill="1" applyBorder="1" applyAlignment="1">
      <alignment horizontal="center" vertical="center" wrapText="1"/>
    </xf>
    <xf numFmtId="171" fontId="12" fillId="10" borderId="4" xfId="0" applyNumberFormat="1" applyFont="1" applyFill="1" applyBorder="1" applyAlignment="1">
      <alignment horizontal="center" vertical="center" wrapText="1"/>
    </xf>
    <xf numFmtId="171" fontId="4" fillId="4" borderId="2" xfId="0" applyNumberFormat="1" applyFont="1" applyFill="1" applyBorder="1" applyAlignment="1">
      <alignment horizontal="center" vertical="center" wrapText="1"/>
    </xf>
    <xf numFmtId="171" fontId="4" fillId="4" borderId="3" xfId="0" applyNumberFormat="1" applyFont="1" applyFill="1" applyBorder="1" applyAlignment="1">
      <alignment horizontal="center" vertical="center" wrapText="1"/>
    </xf>
    <xf numFmtId="171" fontId="4" fillId="4" borderId="3" xfId="0" applyNumberFormat="1" applyFont="1" applyFill="1" applyBorder="1" applyAlignment="1">
      <alignment vertical="center" wrapText="1"/>
    </xf>
    <xf numFmtId="171" fontId="3" fillId="11" borderId="2" xfId="0" applyNumberFormat="1" applyFont="1" applyFill="1" applyBorder="1" applyAlignment="1">
      <alignment horizontal="center" vertical="center"/>
    </xf>
    <xf numFmtId="171" fontId="4" fillId="4" borderId="2" xfId="0" applyNumberFormat="1" applyFont="1" applyFill="1" applyBorder="1" applyAlignment="1">
      <alignment vertical="center" wrapText="1"/>
    </xf>
    <xf numFmtId="171" fontId="18" fillId="4" borderId="10" xfId="0" applyNumberFormat="1" applyFont="1" applyFill="1" applyBorder="1" applyAlignment="1">
      <alignment horizontal="center" vertical="center" wrapText="1"/>
    </xf>
    <xf numFmtId="171" fontId="18" fillId="4" borderId="3" xfId="0" applyNumberFormat="1" applyFont="1" applyFill="1" applyBorder="1" applyAlignment="1">
      <alignment horizontal="center" vertical="center" wrapText="1"/>
    </xf>
    <xf numFmtId="171" fontId="18" fillId="4" borderId="2" xfId="0" applyNumberFormat="1" applyFont="1" applyFill="1" applyBorder="1" applyAlignment="1">
      <alignment vertical="center" wrapText="1"/>
    </xf>
    <xf numFmtId="171" fontId="18" fillId="10" borderId="2" xfId="0" applyNumberFormat="1" applyFont="1" applyFill="1" applyBorder="1" applyAlignment="1">
      <alignment horizontal="center" vertical="center" wrapText="1"/>
    </xf>
    <xf numFmtId="171" fontId="18" fillId="4" borderId="12" xfId="0" applyNumberFormat="1" applyFont="1" applyFill="1" applyBorder="1" applyAlignment="1">
      <alignment horizontal="center" vertical="center" wrapText="1"/>
    </xf>
    <xf numFmtId="171" fontId="18" fillId="10" borderId="13" xfId="0" applyNumberFormat="1" applyFont="1" applyFill="1" applyBorder="1" applyAlignment="1">
      <alignment horizontal="center" vertical="center" wrapText="1"/>
    </xf>
    <xf numFmtId="171" fontId="18" fillId="4" borderId="21" xfId="0" applyNumberFormat="1" applyFont="1" applyFill="1" applyBorder="1" applyAlignment="1">
      <alignment horizontal="center" vertical="center" wrapText="1"/>
    </xf>
    <xf numFmtId="171" fontId="15" fillId="10" borderId="2" xfId="0" applyNumberFormat="1" applyFont="1" applyFill="1" applyBorder="1" applyAlignment="1">
      <alignment vertical="center" wrapText="1"/>
    </xf>
    <xf numFmtId="171" fontId="6" fillId="10" borderId="2" xfId="0" applyNumberFormat="1" applyFont="1" applyFill="1" applyBorder="1" applyAlignment="1">
      <alignment horizontal="center" vertical="center" wrapText="1"/>
    </xf>
    <xf numFmtId="171" fontId="4" fillId="4" borderId="4" xfId="0" applyNumberFormat="1" applyFont="1" applyFill="1" applyBorder="1" applyAlignment="1">
      <alignment horizontal="center" vertical="center" wrapText="1"/>
    </xf>
    <xf numFmtId="171" fontId="15" fillId="10" borderId="12" xfId="0" applyNumberFormat="1" applyFont="1" applyFill="1" applyBorder="1" applyAlignment="1">
      <alignment horizontal="center" vertical="center" wrapText="1"/>
    </xf>
    <xf numFmtId="171" fontId="4" fillId="10" borderId="3" xfId="0" applyNumberFormat="1" applyFont="1" applyFill="1" applyBorder="1" applyAlignment="1">
      <alignment vertical="center" wrapText="1"/>
    </xf>
    <xf numFmtId="171" fontId="3" fillId="10" borderId="2" xfId="0" applyNumberFormat="1" applyFont="1" applyFill="1" applyBorder="1" applyAlignment="1">
      <alignment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3" fillId="4" borderId="3" xfId="0" applyNumberFormat="1" applyFont="1" applyFill="1" applyBorder="1" applyAlignment="1">
      <alignment horizontal="center" vertical="center" wrapText="1"/>
    </xf>
    <xf numFmtId="171" fontId="3" fillId="11" borderId="13" xfId="0" applyNumberFormat="1" applyFont="1" applyFill="1" applyBorder="1" applyAlignment="1">
      <alignment horizontal="center" vertical="center"/>
    </xf>
    <xf numFmtId="171" fontId="12" fillId="0" borderId="2" xfId="0" applyNumberFormat="1" applyFont="1" applyBorder="1" applyAlignment="1">
      <alignment horizontal="left" vertical="center" wrapText="1"/>
    </xf>
    <xf numFmtId="171" fontId="4" fillId="6" borderId="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/>
    <xf numFmtId="0" fontId="10" fillId="10" borderId="5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1" fillId="10" borderId="52" xfId="0" applyNumberFormat="1" applyFont="1" applyFill="1" applyBorder="1" applyAlignment="1">
      <alignment horizontal="center" vertical="center" wrapText="1"/>
    </xf>
    <xf numFmtId="0" fontId="11" fillId="11" borderId="52" xfId="0" applyFont="1" applyFill="1" applyBorder="1" applyAlignment="1">
      <alignment horizontal="center" vertical="center"/>
    </xf>
    <xf numFmtId="4" fontId="11" fillId="10" borderId="5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18" fillId="4" borderId="31" xfId="0" applyNumberFormat="1" applyFont="1" applyFill="1" applyBorder="1" applyAlignment="1">
      <alignment horizontal="center" vertical="center" wrapText="1"/>
    </xf>
    <xf numFmtId="4" fontId="18" fillId="4" borderId="21" xfId="0" applyNumberFormat="1" applyFont="1" applyFill="1" applyBorder="1" applyAlignment="1">
      <alignment vertical="center" wrapText="1"/>
    </xf>
    <xf numFmtId="4" fontId="18" fillId="4" borderId="39" xfId="0" applyNumberFormat="1" applyFont="1" applyFill="1" applyBorder="1" applyAlignment="1">
      <alignment horizontal="center" vertical="center" wrapText="1"/>
    </xf>
    <xf numFmtId="4" fontId="18" fillId="10" borderId="39" xfId="0" applyNumberFormat="1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vertical="center"/>
    </xf>
    <xf numFmtId="0" fontId="16" fillId="11" borderId="56" xfId="0" applyFont="1" applyFill="1" applyBorder="1" applyAlignment="1">
      <alignment vertical="center"/>
    </xf>
    <xf numFmtId="4" fontId="12" fillId="11" borderId="56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4" fontId="16" fillId="11" borderId="12" xfId="0" applyNumberFormat="1" applyFont="1" applyFill="1" applyBorder="1" applyAlignment="1">
      <alignment vertical="center"/>
    </xf>
    <xf numFmtId="2" fontId="11" fillId="10" borderId="58" xfId="0" applyNumberFormat="1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/>
    </xf>
    <xf numFmtId="4" fontId="11" fillId="10" borderId="58" xfId="0" applyNumberFormat="1" applyFont="1" applyFill="1" applyBorder="1" applyAlignment="1">
      <alignment horizontal="center" vertical="center" wrapText="1"/>
    </xf>
    <xf numFmtId="2" fontId="11" fillId="10" borderId="59" xfId="0" applyNumberFormat="1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/>
    </xf>
    <xf numFmtId="4" fontId="11" fillId="10" borderId="59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/>
    <xf numFmtId="2" fontId="11" fillId="10" borderId="24" xfId="0" applyNumberFormat="1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12" fillId="10" borderId="40" xfId="0" applyFont="1" applyFill="1" applyBorder="1" applyAlignment="1">
      <alignment horizontal="center" vertical="center" wrapText="1"/>
    </xf>
    <xf numFmtId="171" fontId="18" fillId="10" borderId="20" xfId="0" applyNumberFormat="1" applyFont="1" applyFill="1" applyBorder="1" applyAlignment="1">
      <alignment horizontal="center" vertical="center" wrapText="1"/>
    </xf>
    <xf numFmtId="171" fontId="18" fillId="4" borderId="39" xfId="0" applyNumberFormat="1" applyFont="1" applyFill="1" applyBorder="1" applyAlignment="1">
      <alignment horizontal="center" vertical="center" wrapText="1"/>
    </xf>
    <xf numFmtId="171" fontId="18" fillId="4" borderId="21" xfId="0" applyNumberFormat="1" applyFont="1" applyFill="1" applyBorder="1" applyAlignment="1">
      <alignment vertical="center" wrapText="1"/>
    </xf>
    <xf numFmtId="166" fontId="18" fillId="10" borderId="59" xfId="0" applyNumberFormat="1" applyFont="1" applyFill="1" applyBorder="1" applyAlignment="1">
      <alignment horizontal="center" vertical="center" wrapText="1"/>
    </xf>
    <xf numFmtId="0" fontId="9" fillId="10" borderId="59" xfId="0" applyFont="1" applyFill="1" applyBorder="1" applyAlignment="1">
      <alignment horizontal="center" vertical="center" wrapText="1"/>
    </xf>
    <xf numFmtId="166" fontId="3" fillId="13" borderId="2" xfId="0" applyNumberFormat="1" applyFont="1" applyFill="1" applyBorder="1" applyAlignment="1">
      <alignment horizontal="center" vertical="center" wrapText="1"/>
    </xf>
    <xf numFmtId="172" fontId="15" fillId="4" borderId="19" xfId="0" applyNumberFormat="1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15" fillId="10" borderId="12" xfId="0" applyNumberFormat="1" applyFont="1" applyFill="1" applyBorder="1" applyAlignment="1">
      <alignment vertical="center" wrapText="1"/>
    </xf>
    <xf numFmtId="4" fontId="15" fillId="10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3" xfId="0" applyFont="1" applyFill="1" applyBorder="1"/>
    <xf numFmtId="166" fontId="12" fillId="9" borderId="13" xfId="0" applyNumberFormat="1" applyFont="1" applyFill="1" applyBorder="1" applyAlignment="1">
      <alignment horizontal="center" vertical="center" wrapText="1"/>
    </xf>
    <xf numFmtId="3" fontId="12" fillId="9" borderId="13" xfId="0" applyNumberFormat="1" applyFont="1" applyFill="1" applyBorder="1" applyAlignment="1">
      <alignment horizontal="center" vertical="center" wrapText="1"/>
    </xf>
    <xf numFmtId="3" fontId="12" fillId="9" borderId="13" xfId="0" applyNumberFormat="1" applyFont="1" applyFill="1" applyBorder="1" applyAlignment="1">
      <alignment vertical="center" wrapText="1"/>
    </xf>
    <xf numFmtId="0" fontId="20" fillId="9" borderId="13" xfId="0" applyFont="1" applyFill="1" applyBorder="1" applyAlignment="1">
      <alignment vertical="center" wrapText="1"/>
    </xf>
    <xf numFmtId="166" fontId="12" fillId="13" borderId="13" xfId="0" applyNumberFormat="1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0" fontId="10" fillId="10" borderId="59" xfId="0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vertical="center"/>
    </xf>
    <xf numFmtId="4" fontId="3" fillId="11" borderId="24" xfId="0" applyNumberFormat="1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10" borderId="11" xfId="0" applyFont="1" applyFill="1" applyBorder="1" applyAlignment="1">
      <alignment vertical="center" wrapText="1"/>
    </xf>
    <xf numFmtId="2" fontId="10" fillId="10" borderId="58" xfId="0" applyNumberFormat="1" applyFont="1" applyFill="1" applyBorder="1" applyAlignment="1">
      <alignment horizontal="center" vertical="center" wrapText="1"/>
    </xf>
    <xf numFmtId="4" fontId="19" fillId="10" borderId="31" xfId="0" applyNumberFormat="1" applyFont="1" applyFill="1" applyBorder="1" applyAlignment="1">
      <alignment vertical="center" wrapText="1"/>
    </xf>
    <xf numFmtId="4" fontId="19" fillId="10" borderId="39" xfId="0" applyNumberFormat="1" applyFont="1" applyFill="1" applyBorder="1" applyAlignment="1">
      <alignment vertical="center" wrapText="1"/>
    </xf>
    <xf numFmtId="4" fontId="18" fillId="4" borderId="26" xfId="0" applyNumberFormat="1" applyFont="1" applyFill="1" applyBorder="1" applyAlignment="1">
      <alignment horizontal="center" vertical="center" wrapText="1"/>
    </xf>
    <xf numFmtId="4" fontId="4" fillId="11" borderId="2" xfId="0" applyNumberFormat="1" applyFont="1" applyFill="1" applyBorder="1" applyAlignment="1">
      <alignment vertical="center"/>
    </xf>
    <xf numFmtId="4" fontId="4" fillId="11" borderId="12" xfId="0" applyNumberFormat="1" applyFont="1" applyFill="1" applyBorder="1" applyAlignment="1">
      <alignment vertical="center"/>
    </xf>
    <xf numFmtId="4" fontId="4" fillId="10" borderId="13" xfId="0" applyNumberFormat="1" applyFont="1" applyFill="1" applyBorder="1" applyAlignment="1">
      <alignment vertical="center" wrapText="1"/>
    </xf>
    <xf numFmtId="4" fontId="4" fillId="10" borderId="12" xfId="0" applyNumberFormat="1" applyFont="1" applyFill="1" applyBorder="1" applyAlignment="1">
      <alignment vertical="center" wrapText="1"/>
    </xf>
    <xf numFmtId="4" fontId="4" fillId="10" borderId="19" xfId="0" applyNumberFormat="1" applyFont="1" applyFill="1" applyBorder="1" applyAlignment="1">
      <alignment vertical="center" wrapText="1"/>
    </xf>
    <xf numFmtId="4" fontId="4" fillId="10" borderId="24" xfId="0" applyNumberFormat="1" applyFont="1" applyFill="1" applyBorder="1" applyAlignment="1">
      <alignment vertical="center" wrapText="1"/>
    </xf>
    <xf numFmtId="4" fontId="15" fillId="10" borderId="13" xfId="0" applyNumberFormat="1" applyFont="1" applyFill="1" applyBorder="1" applyAlignment="1">
      <alignment vertical="center" wrapText="1"/>
    </xf>
    <xf numFmtId="4" fontId="15" fillId="11" borderId="12" xfId="0" applyNumberFormat="1" applyFont="1" applyFill="1" applyBorder="1" applyAlignment="1">
      <alignment vertical="center"/>
    </xf>
    <xf numFmtId="4" fontId="4" fillId="11" borderId="24" xfId="0" applyNumberFormat="1" applyFont="1" applyFill="1" applyBorder="1" applyAlignment="1">
      <alignment vertical="center"/>
    </xf>
    <xf numFmtId="4" fontId="12" fillId="9" borderId="13" xfId="0" applyNumberFormat="1" applyFont="1" applyFill="1" applyBorder="1" applyAlignment="1">
      <alignment horizontal="center" vertical="center" wrapText="1"/>
    </xf>
    <xf numFmtId="4" fontId="6" fillId="10" borderId="4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166" fontId="9" fillId="4" borderId="1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12" fillId="11" borderId="63" xfId="0" applyFont="1" applyFill="1" applyBorder="1" applyAlignment="1">
      <alignment vertical="center"/>
    </xf>
    <xf numFmtId="4" fontId="12" fillId="11" borderId="63" xfId="0" applyNumberFormat="1" applyFont="1" applyFill="1" applyBorder="1" applyAlignment="1">
      <alignment vertical="center"/>
    </xf>
    <xf numFmtId="0" fontId="4" fillId="11" borderId="63" xfId="0" applyFont="1" applyFill="1" applyBorder="1" applyAlignment="1">
      <alignment horizontal="center" vertical="center"/>
    </xf>
    <xf numFmtId="0" fontId="10" fillId="10" borderId="63" xfId="0" applyFont="1" applyFill="1" applyBorder="1" applyAlignment="1">
      <alignment horizontal="center" vertical="center" wrapText="1"/>
    </xf>
    <xf numFmtId="4" fontId="4" fillId="10" borderId="6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70" fontId="4" fillId="0" borderId="2" xfId="0" applyNumberFormat="1" applyFont="1" applyBorder="1" applyAlignment="1">
      <alignment vertical="center" wrapText="1"/>
    </xf>
    <xf numFmtId="0" fontId="15" fillId="3" borderId="63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vertical="center" wrapText="1"/>
    </xf>
    <xf numFmtId="0" fontId="16" fillId="10" borderId="7" xfId="0" applyFont="1" applyFill="1" applyBorder="1" applyAlignment="1">
      <alignment horizontal="center" vertical="center" wrapText="1"/>
    </xf>
    <xf numFmtId="171" fontId="4" fillId="10" borderId="13" xfId="0" applyNumberFormat="1" applyFont="1" applyFill="1" applyBorder="1" applyAlignment="1">
      <alignment horizontal="center" vertical="center" wrapText="1"/>
    </xf>
    <xf numFmtId="166" fontId="9" fillId="10" borderId="13" xfId="0" applyNumberFormat="1" applyFont="1" applyFill="1" applyBorder="1" applyAlignment="1">
      <alignment horizontal="center" vertical="center" wrapText="1"/>
    </xf>
    <xf numFmtId="4" fontId="9" fillId="10" borderId="15" xfId="0" applyNumberFormat="1" applyFont="1" applyFill="1" applyBorder="1" applyAlignment="1">
      <alignment horizontal="center" vertical="center" wrapText="1"/>
    </xf>
    <xf numFmtId="0" fontId="12" fillId="10" borderId="6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vertical="center" wrapText="1"/>
    </xf>
    <xf numFmtId="171" fontId="4" fillId="4" borderId="12" xfId="0" applyNumberFormat="1" applyFont="1" applyFill="1" applyBorder="1" applyAlignment="1">
      <alignment horizontal="center" vertical="center" wrapText="1"/>
    </xf>
    <xf numFmtId="171" fontId="4" fillId="4" borderId="13" xfId="0" applyNumberFormat="1" applyFont="1" applyFill="1" applyBorder="1" applyAlignment="1">
      <alignment horizontal="center" vertical="center" wrapText="1"/>
    </xf>
    <xf numFmtId="4" fontId="12" fillId="4" borderId="19" xfId="0" applyNumberFormat="1" applyFont="1" applyFill="1" applyBorder="1" applyAlignment="1">
      <alignment horizontal="center" vertical="center" wrapText="1"/>
    </xf>
    <xf numFmtId="4" fontId="12" fillId="4" borderId="24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horizontal="center" vertical="center" wrapText="1"/>
    </xf>
    <xf numFmtId="4" fontId="15" fillId="4" borderId="21" xfId="0" applyNumberFormat="1" applyFont="1" applyFill="1" applyBorder="1" applyAlignment="1">
      <alignment horizontal="center" vertical="center" wrapText="1"/>
    </xf>
    <xf numFmtId="4" fontId="15" fillId="4" borderId="26" xfId="0" applyNumberFormat="1" applyFont="1" applyFill="1" applyBorder="1" applyAlignment="1">
      <alignment horizontal="center" vertical="center" wrapText="1"/>
    </xf>
    <xf numFmtId="4" fontId="15" fillId="4" borderId="31" xfId="0" applyNumberFormat="1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71" fontId="18" fillId="4" borderId="26" xfId="0" applyNumberFormat="1" applyFont="1" applyFill="1" applyBorder="1" applyAlignment="1">
      <alignment horizontal="center" vertical="center" wrapText="1"/>
    </xf>
    <xf numFmtId="171" fontId="18" fillId="4" borderId="31" xfId="0" applyNumberFormat="1" applyFont="1" applyFill="1" applyBorder="1" applyAlignment="1">
      <alignment horizontal="center" vertical="center" wrapText="1"/>
    </xf>
    <xf numFmtId="171" fontId="4" fillId="10" borderId="12" xfId="0" applyNumberFormat="1" applyFont="1" applyFill="1" applyBorder="1" applyAlignment="1">
      <alignment horizontal="center" vertical="center" wrapText="1"/>
    </xf>
    <xf numFmtId="172" fontId="20" fillId="9" borderId="2" xfId="0" applyNumberFormat="1" applyFont="1" applyFill="1" applyBorder="1" applyAlignment="1">
      <alignment horizontal="center" vertical="center" wrapText="1"/>
    </xf>
    <xf numFmtId="172" fontId="4" fillId="4" borderId="2" xfId="0" applyNumberFormat="1" applyFont="1" applyFill="1" applyBorder="1" applyAlignment="1">
      <alignment horizontal="center" vertical="center" wrapText="1"/>
    </xf>
    <xf numFmtId="4" fontId="4" fillId="10" borderId="26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 wrapText="1"/>
    </xf>
    <xf numFmtId="165" fontId="15" fillId="10" borderId="0" xfId="0" applyNumberFormat="1" applyFont="1" applyFill="1" applyBorder="1" applyAlignment="1">
      <alignment horizontal="left" vertical="center" wrapText="1"/>
    </xf>
    <xf numFmtId="166" fontId="10" fillId="10" borderId="0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3" fontId="10" fillId="10" borderId="9" xfId="0" applyNumberFormat="1" applyFont="1" applyFill="1" applyBorder="1" applyAlignment="1">
      <alignment horizontal="center" vertical="center"/>
    </xf>
    <xf numFmtId="2" fontId="4" fillId="10" borderId="66" xfId="0" applyNumberFormat="1" applyFont="1" applyFill="1" applyBorder="1" applyAlignment="1">
      <alignment horizontal="center" vertical="center" wrapText="1"/>
    </xf>
    <xf numFmtId="1" fontId="10" fillId="10" borderId="13" xfId="0" applyNumberFormat="1" applyFont="1" applyFill="1" applyBorder="1" applyAlignment="1">
      <alignment horizontal="center" vertical="center" wrapText="1"/>
    </xf>
    <xf numFmtId="2" fontId="11" fillId="10" borderId="66" xfId="0" applyNumberFormat="1" applyFont="1" applyFill="1" applyBorder="1" applyAlignment="1">
      <alignment horizontal="center" vertical="center" wrapText="1"/>
    </xf>
    <xf numFmtId="0" fontId="11" fillId="11" borderId="66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vertical="center" wrapText="1"/>
    </xf>
    <xf numFmtId="0" fontId="15" fillId="11" borderId="19" xfId="0" applyFont="1" applyFill="1" applyBorder="1" applyAlignment="1">
      <alignment vertical="center" wrapText="1"/>
    </xf>
    <xf numFmtId="167" fontId="11" fillId="10" borderId="19" xfId="0" applyNumberFormat="1" applyFont="1" applyFill="1" applyBorder="1" applyAlignment="1">
      <alignment horizontal="center" vertical="center" wrapText="1"/>
    </xf>
    <xf numFmtId="4" fontId="11" fillId="10" borderId="19" xfId="0" applyNumberFormat="1" applyFont="1" applyFill="1" applyBorder="1" applyAlignment="1">
      <alignment vertical="center" wrapText="1"/>
    </xf>
    <xf numFmtId="0" fontId="11" fillId="10" borderId="24" xfId="0" applyFont="1" applyFill="1" applyBorder="1" applyAlignment="1">
      <alignment vertical="center" wrapText="1"/>
    </xf>
    <xf numFmtId="167" fontId="11" fillId="10" borderId="24" xfId="0" applyNumberFormat="1" applyFont="1" applyFill="1" applyBorder="1" applyAlignment="1">
      <alignment horizontal="center" vertical="center" wrapText="1"/>
    </xf>
    <xf numFmtId="4" fontId="11" fillId="10" borderId="24" xfId="0" applyNumberFormat="1" applyFont="1" applyFill="1" applyBorder="1" applyAlignment="1">
      <alignment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4" fontId="10" fillId="10" borderId="15" xfId="0" applyNumberFormat="1" applyFont="1" applyFill="1" applyBorder="1" applyAlignment="1">
      <alignment horizontal="center" vertical="center" wrapText="1"/>
    </xf>
    <xf numFmtId="2" fontId="19" fillId="16" borderId="2" xfId="0" applyNumberFormat="1" applyFont="1" applyFill="1" applyBorder="1" applyAlignment="1">
      <alignment horizontal="center" vertical="center" wrapText="1"/>
    </xf>
    <xf numFmtId="4" fontId="18" fillId="16" borderId="21" xfId="0" applyNumberFormat="1" applyFont="1" applyFill="1" applyBorder="1" applyAlignment="1">
      <alignment horizontal="center" vertical="center" wrapText="1"/>
    </xf>
    <xf numFmtId="4" fontId="18" fillId="16" borderId="26" xfId="0" applyNumberFormat="1" applyFont="1" applyFill="1" applyBorder="1" applyAlignment="1">
      <alignment horizontal="center" vertical="center" wrapText="1"/>
    </xf>
    <xf numFmtId="4" fontId="12" fillId="13" borderId="2" xfId="0" applyNumberFormat="1" applyFont="1" applyFill="1" applyBorder="1" applyAlignment="1">
      <alignment horizontal="center" vertical="center" wrapText="1"/>
    </xf>
    <xf numFmtId="4" fontId="15" fillId="10" borderId="19" xfId="0" applyNumberFormat="1" applyFont="1" applyFill="1" applyBorder="1" applyAlignment="1">
      <alignment vertical="center" wrapText="1"/>
    </xf>
    <xf numFmtId="4" fontId="15" fillId="10" borderId="24" xfId="0" applyNumberFormat="1" applyFont="1" applyFill="1" applyBorder="1" applyAlignment="1">
      <alignment vertical="center" wrapText="1"/>
    </xf>
    <xf numFmtId="4" fontId="11" fillId="10" borderId="13" xfId="0" applyNumberFormat="1" applyFont="1" applyFill="1" applyBorder="1" applyAlignment="1">
      <alignment vertical="center" wrapText="1"/>
    </xf>
    <xf numFmtId="2" fontId="6" fillId="10" borderId="69" xfId="0" applyNumberFormat="1" applyFont="1" applyFill="1" applyBorder="1" applyAlignment="1">
      <alignment horizontal="center" vertical="center" wrapText="1"/>
    </xf>
    <xf numFmtId="0" fontId="15" fillId="11" borderId="69" xfId="0" applyFont="1" applyFill="1" applyBorder="1" applyAlignment="1">
      <alignment horizontal="center" vertical="center"/>
    </xf>
    <xf numFmtId="164" fontId="4" fillId="10" borderId="69" xfId="0" applyNumberFormat="1" applyFont="1" applyFill="1" applyBorder="1" applyAlignment="1">
      <alignment horizontal="center" vertical="center" wrapText="1"/>
    </xf>
    <xf numFmtId="165" fontId="4" fillId="10" borderId="69" xfId="0" applyNumberFormat="1" applyFont="1" applyFill="1" applyBorder="1" applyAlignment="1">
      <alignment horizontal="center" vertical="center" wrapText="1"/>
    </xf>
    <xf numFmtId="0" fontId="10" fillId="10" borderId="69" xfId="0" applyFont="1" applyFill="1" applyBorder="1" applyAlignment="1">
      <alignment horizontal="center" vertical="center" wrapText="1"/>
    </xf>
    <xf numFmtId="165" fontId="11" fillId="10" borderId="12" xfId="0" applyNumberFormat="1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vertical="center"/>
    </xf>
    <xf numFmtId="4" fontId="12" fillId="11" borderId="69" xfId="0" applyNumberFormat="1" applyFont="1" applyFill="1" applyBorder="1" applyAlignment="1">
      <alignment vertical="center"/>
    </xf>
    <xf numFmtId="0" fontId="12" fillId="11" borderId="69" xfId="0" applyFont="1" applyFill="1" applyBorder="1" applyAlignment="1">
      <alignment vertical="center"/>
    </xf>
    <xf numFmtId="0" fontId="20" fillId="11" borderId="69" xfId="0" applyFont="1" applyFill="1" applyBorder="1" applyAlignment="1">
      <alignment vertical="center"/>
    </xf>
    <xf numFmtId="4" fontId="4" fillId="11" borderId="69" xfId="0" applyNumberFormat="1" applyFont="1" applyFill="1" applyBorder="1" applyAlignment="1">
      <alignment vertical="center"/>
    </xf>
    <xf numFmtId="4" fontId="12" fillId="11" borderId="66" xfId="0" applyNumberFormat="1" applyFont="1" applyFill="1" applyBorder="1" applyAlignment="1">
      <alignment vertical="center"/>
    </xf>
    <xf numFmtId="0" fontId="12" fillId="11" borderId="66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 wrapText="1"/>
    </xf>
    <xf numFmtId="0" fontId="4" fillId="10" borderId="69" xfId="0" applyFont="1" applyFill="1" applyBorder="1" applyAlignment="1">
      <alignment vertical="center" wrapText="1"/>
    </xf>
    <xf numFmtId="0" fontId="15" fillId="11" borderId="69" xfId="0" applyFont="1" applyFill="1" applyBorder="1" applyAlignment="1">
      <alignment vertical="center" wrapText="1"/>
    </xf>
    <xf numFmtId="0" fontId="4" fillId="2" borderId="69" xfId="0" applyFont="1" applyFill="1" applyBorder="1" applyAlignment="1">
      <alignment horizontal="center" vertical="center"/>
    </xf>
    <xf numFmtId="171" fontId="4" fillId="10" borderId="69" xfId="0" applyNumberFormat="1" applyFont="1" applyFill="1" applyBorder="1" applyAlignment="1">
      <alignment vertical="center" wrapText="1"/>
    </xf>
    <xf numFmtId="0" fontId="12" fillId="2" borderId="69" xfId="0" applyFont="1" applyFill="1" applyBorder="1" applyAlignment="1">
      <alignment vertical="center"/>
    </xf>
    <xf numFmtId="2" fontId="11" fillId="10" borderId="69" xfId="0" applyNumberFormat="1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vertical="center" wrapText="1"/>
    </xf>
    <xf numFmtId="4" fontId="15" fillId="10" borderId="69" xfId="0" applyNumberFormat="1" applyFont="1" applyFill="1" applyBorder="1" applyAlignment="1">
      <alignment vertical="center" wrapText="1"/>
    </xf>
    <xf numFmtId="4" fontId="23" fillId="11" borderId="66" xfId="0" applyNumberFormat="1" applyFont="1" applyFill="1" applyBorder="1" applyAlignment="1">
      <alignment horizontal="center" vertical="center"/>
    </xf>
    <xf numFmtId="0" fontId="20" fillId="11" borderId="66" xfId="0" applyFont="1" applyFill="1" applyBorder="1" applyAlignment="1">
      <alignment vertical="center"/>
    </xf>
    <xf numFmtId="4" fontId="20" fillId="11" borderId="66" xfId="0" applyNumberFormat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vertical="center"/>
    </xf>
    <xf numFmtId="0" fontId="12" fillId="11" borderId="19" xfId="0" applyFont="1" applyFill="1" applyBorder="1" applyAlignment="1">
      <alignment vertical="center"/>
    </xf>
    <xf numFmtId="0" fontId="16" fillId="11" borderId="19" xfId="0" applyFont="1" applyFill="1" applyBorder="1" applyAlignment="1">
      <alignment vertical="center"/>
    </xf>
    <xf numFmtId="4" fontId="12" fillId="11" borderId="19" xfId="0" applyNumberFormat="1" applyFont="1" applyFill="1" applyBorder="1" applyAlignment="1">
      <alignment vertical="center"/>
    </xf>
    <xf numFmtId="0" fontId="20" fillId="11" borderId="19" xfId="0" applyFont="1" applyFill="1" applyBorder="1" applyAlignment="1">
      <alignment vertical="center"/>
    </xf>
    <xf numFmtId="4" fontId="4" fillId="11" borderId="19" xfId="0" applyNumberFormat="1" applyFont="1" applyFill="1" applyBorder="1" applyAlignment="1">
      <alignment vertical="center"/>
    </xf>
    <xf numFmtId="4" fontId="15" fillId="10" borderId="38" xfId="0" applyNumberFormat="1" applyFont="1" applyFill="1" applyBorder="1" applyAlignment="1">
      <alignment horizontal="center" vertical="center" wrapText="1"/>
    </xf>
    <xf numFmtId="164" fontId="15" fillId="14" borderId="13" xfId="0" applyNumberFormat="1" applyFont="1" applyFill="1" applyBorder="1" applyAlignment="1">
      <alignment horizontal="center" vertical="center" wrapText="1"/>
    </xf>
    <xf numFmtId="2" fontId="15" fillId="14" borderId="24" xfId="0" applyNumberFormat="1" applyFont="1" applyFill="1" applyBorder="1" applyAlignment="1">
      <alignment horizontal="center" vertical="center" wrapText="1"/>
    </xf>
    <xf numFmtId="1" fontId="15" fillId="10" borderId="2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164" fontId="15" fillId="14" borderId="19" xfId="0" applyNumberFormat="1" applyFont="1" applyFill="1" applyBorder="1" applyAlignment="1">
      <alignment horizontal="center" vertical="center" wrapText="1"/>
    </xf>
    <xf numFmtId="2" fontId="4" fillId="15" borderId="12" xfId="0" applyNumberFormat="1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166" fontId="18" fillId="14" borderId="19" xfId="0" applyNumberFormat="1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4" fontId="18" fillId="14" borderId="23" xfId="0" applyNumberFormat="1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4" fontId="4" fillId="4" borderId="71" xfId="0" applyNumberFormat="1" applyFont="1" applyFill="1" applyBorder="1" applyAlignment="1">
      <alignment vertical="center" wrapText="1"/>
    </xf>
    <xf numFmtId="4" fontId="4" fillId="4" borderId="38" xfId="0" applyNumberFormat="1" applyFont="1" applyFill="1" applyBorder="1" applyAlignment="1">
      <alignment vertical="center" wrapText="1"/>
    </xf>
    <xf numFmtId="4" fontId="4" fillId="10" borderId="71" xfId="0" applyNumberFormat="1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12" fillId="10" borderId="69" xfId="0" applyFont="1" applyFill="1" applyBorder="1" applyAlignment="1">
      <alignment horizontal="center" vertical="center" wrapText="1"/>
    </xf>
    <xf numFmtId="3" fontId="18" fillId="10" borderId="69" xfId="2" applyNumberFormat="1" applyFont="1" applyFill="1" applyBorder="1" applyAlignment="1">
      <alignment horizontal="center" vertical="center" wrapText="1"/>
    </xf>
    <xf numFmtId="2" fontId="6" fillId="4" borderId="69" xfId="0" applyNumberFormat="1" applyFont="1" applyFill="1" applyBorder="1" applyAlignment="1">
      <alignment horizontal="center" vertical="center" wrapText="1"/>
    </xf>
    <xf numFmtId="0" fontId="15" fillId="3" borderId="66" xfId="0" applyFont="1" applyFill="1" applyBorder="1" applyAlignment="1">
      <alignment horizontal="center" vertical="center"/>
    </xf>
    <xf numFmtId="4" fontId="18" fillId="4" borderId="69" xfId="0" applyNumberFormat="1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0" fontId="12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4" fontId="12" fillId="4" borderId="69" xfId="0" applyNumberFormat="1" applyFont="1" applyFill="1" applyBorder="1" applyAlignment="1">
      <alignment horizontal="center" vertical="center" wrapText="1"/>
    </xf>
    <xf numFmtId="171" fontId="18" fillId="4" borderId="70" xfId="0" applyNumberFormat="1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171" fontId="18" fillId="4" borderId="13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vertical="center"/>
    </xf>
    <xf numFmtId="0" fontId="16" fillId="11" borderId="68" xfId="0" applyFont="1" applyFill="1" applyBorder="1" applyAlignment="1">
      <alignment vertical="center"/>
    </xf>
    <xf numFmtId="4" fontId="4" fillId="11" borderId="66" xfId="0" applyNumberFormat="1" applyFont="1" applyFill="1" applyBorder="1" applyAlignment="1">
      <alignment vertical="center"/>
    </xf>
    <xf numFmtId="2" fontId="6" fillId="10" borderId="40" xfId="0" applyNumberFormat="1" applyFont="1" applyFill="1" applyBorder="1" applyAlignment="1">
      <alignment horizontal="center" vertical="center" wrapText="1"/>
    </xf>
    <xf numFmtId="2" fontId="6" fillId="10" borderId="41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vertical="center"/>
    </xf>
    <xf numFmtId="0" fontId="16" fillId="11" borderId="9" xfId="0" applyFont="1" applyFill="1" applyBorder="1" applyAlignment="1">
      <alignment vertical="center"/>
    </xf>
    <xf numFmtId="4" fontId="11" fillId="10" borderId="69" xfId="0" applyNumberFormat="1" applyFont="1" applyFill="1" applyBorder="1" applyAlignment="1">
      <alignment vertical="center" wrapText="1"/>
    </xf>
    <xf numFmtId="0" fontId="12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/>
    <xf numFmtId="0" fontId="15" fillId="14" borderId="63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vertical="center"/>
    </xf>
    <xf numFmtId="4" fontId="17" fillId="11" borderId="19" xfId="0" applyNumberFormat="1" applyFont="1" applyFill="1" applyBorder="1" applyAlignment="1">
      <alignment vertical="center"/>
    </xf>
    <xf numFmtId="4" fontId="11" fillId="11" borderId="19" xfId="0" applyNumberFormat="1" applyFont="1" applyFill="1" applyBorder="1" applyAlignment="1">
      <alignment vertical="center"/>
    </xf>
    <xf numFmtId="0" fontId="17" fillId="11" borderId="24" xfId="0" applyFont="1" applyFill="1" applyBorder="1" applyAlignment="1">
      <alignment vertical="center"/>
    </xf>
    <xf numFmtId="4" fontId="17" fillId="11" borderId="24" xfId="0" applyNumberFormat="1" applyFont="1" applyFill="1" applyBorder="1" applyAlignment="1">
      <alignment vertical="center"/>
    </xf>
    <xf numFmtId="4" fontId="11" fillId="11" borderId="24" xfId="0" applyNumberFormat="1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4" fontId="17" fillId="11" borderId="13" xfId="0" applyNumberFormat="1" applyFont="1" applyFill="1" applyBorder="1" applyAlignment="1">
      <alignment vertical="center"/>
    </xf>
    <xf numFmtId="4" fontId="11" fillId="11" borderId="13" xfId="0" applyNumberFormat="1" applyFont="1" applyFill="1" applyBorder="1" applyAlignment="1">
      <alignment vertical="center"/>
    </xf>
    <xf numFmtId="4" fontId="17" fillId="11" borderId="2" xfId="0" applyNumberFormat="1" applyFont="1" applyFill="1" applyBorder="1" applyAlignment="1">
      <alignment vertical="center"/>
    </xf>
    <xf numFmtId="4" fontId="11" fillId="11" borderId="2" xfId="0" applyNumberFormat="1" applyFont="1" applyFill="1" applyBorder="1" applyAlignment="1">
      <alignment vertical="center"/>
    </xf>
    <xf numFmtId="166" fontId="15" fillId="14" borderId="19" xfId="0" applyNumberFormat="1" applyFont="1" applyFill="1" applyBorder="1" applyAlignment="1">
      <alignment horizontal="center" vertical="center" wrapText="1"/>
    </xf>
    <xf numFmtId="4" fontId="15" fillId="14" borderId="24" xfId="0" applyNumberFormat="1" applyFont="1" applyFill="1" applyBorder="1" applyAlignment="1">
      <alignment horizontal="center" vertical="center" wrapText="1"/>
    </xf>
    <xf numFmtId="164" fontId="15" fillId="14" borderId="2" xfId="0" applyNumberFormat="1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15" fillId="14" borderId="24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/>
    </xf>
    <xf numFmtId="0" fontId="18" fillId="10" borderId="19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/>
    <xf numFmtId="172" fontId="12" fillId="10" borderId="12" xfId="0" applyNumberFormat="1" applyFont="1" applyFill="1" applyBorder="1" applyAlignment="1">
      <alignment horizontal="center" vertical="center" wrapText="1"/>
    </xf>
    <xf numFmtId="171" fontId="12" fillId="10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1" fillId="10" borderId="12" xfId="0" applyNumberFormat="1" applyFont="1" applyFill="1" applyBorder="1" applyAlignment="1">
      <alignment horizontal="center" vertical="center" wrapText="1"/>
    </xf>
    <xf numFmtId="4" fontId="9" fillId="10" borderId="19" xfId="0" applyNumberFormat="1" applyFont="1" applyFill="1" applyBorder="1" applyAlignment="1">
      <alignment horizontal="center" vertical="center" wrapText="1"/>
    </xf>
    <xf numFmtId="4" fontId="15" fillId="10" borderId="49" xfId="0" applyNumberFormat="1" applyFont="1" applyFill="1" applyBorder="1" applyAlignment="1">
      <alignment vertical="center" wrapText="1"/>
    </xf>
    <xf numFmtId="3" fontId="15" fillId="10" borderId="66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" fontId="15" fillId="10" borderId="26" xfId="0" applyNumberFormat="1" applyFont="1" applyFill="1" applyBorder="1" applyAlignment="1">
      <alignment vertical="center" wrapText="1"/>
    </xf>
    <xf numFmtId="0" fontId="6" fillId="10" borderId="19" xfId="0" applyFont="1" applyFill="1" applyBorder="1" applyAlignment="1">
      <alignment horizontal="center" vertical="center" wrapText="1"/>
    </xf>
    <xf numFmtId="4" fontId="12" fillId="10" borderId="24" xfId="0" applyNumberFormat="1" applyFont="1" applyFill="1" applyBorder="1" applyAlignment="1">
      <alignment horizontal="center" vertical="center" wrapText="1"/>
    </xf>
    <xf numFmtId="171" fontId="18" fillId="10" borderId="19" xfId="0" applyNumberFormat="1" applyFont="1" applyFill="1" applyBorder="1" applyAlignment="1">
      <alignment horizontal="center" vertical="center" wrapText="1"/>
    </xf>
    <xf numFmtId="171" fontId="18" fillId="10" borderId="24" xfId="0" applyNumberFormat="1" applyFont="1" applyFill="1" applyBorder="1" applyAlignment="1">
      <alignment horizontal="center" vertical="center" wrapText="1"/>
    </xf>
    <xf numFmtId="4" fontId="4" fillId="10" borderId="35" xfId="0" applyNumberFormat="1" applyFont="1" applyFill="1" applyBorder="1" applyAlignment="1">
      <alignment horizontal="center" vertical="center" wrapText="1"/>
    </xf>
    <xf numFmtId="4" fontId="4" fillId="10" borderId="38" xfId="0" applyNumberFormat="1" applyFont="1" applyFill="1" applyBorder="1" applyAlignment="1">
      <alignment horizontal="center" vertical="center" wrapText="1"/>
    </xf>
    <xf numFmtId="4" fontId="17" fillId="11" borderId="12" xfId="0" applyNumberFormat="1" applyFont="1" applyFill="1" applyBorder="1" applyAlignment="1">
      <alignment vertical="center"/>
    </xf>
    <xf numFmtId="4" fontId="11" fillId="11" borderId="12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vertical="center" wrapText="1"/>
    </xf>
    <xf numFmtId="2" fontId="18" fillId="10" borderId="19" xfId="0" applyNumberFormat="1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15" fillId="10" borderId="23" xfId="0" applyNumberFormat="1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center" vertical="center" wrapText="1"/>
    </xf>
    <xf numFmtId="3" fontId="15" fillId="10" borderId="63" xfId="0" applyNumberFormat="1" applyFont="1" applyFill="1" applyBorder="1" applyAlignment="1">
      <alignment horizontal="center" vertical="center" wrapText="1"/>
    </xf>
    <xf numFmtId="166" fontId="15" fillId="10" borderId="62" xfId="0" applyNumberFormat="1" applyFont="1" applyFill="1" applyBorder="1" applyAlignment="1">
      <alignment horizontal="center" vertical="center" wrapText="1"/>
    </xf>
    <xf numFmtId="0" fontId="3" fillId="11" borderId="75" xfId="0" applyFont="1" applyFill="1" applyBorder="1" applyAlignment="1">
      <alignment vertical="center"/>
    </xf>
    <xf numFmtId="0" fontId="3" fillId="11" borderId="63" xfId="0" applyFont="1" applyFill="1" applyBorder="1" applyAlignment="1">
      <alignment vertical="center"/>
    </xf>
    <xf numFmtId="0" fontId="16" fillId="11" borderId="63" xfId="0" applyFont="1" applyFill="1" applyBorder="1" applyAlignment="1">
      <alignment vertical="center"/>
    </xf>
    <xf numFmtId="4" fontId="3" fillId="11" borderId="63" xfId="0" applyNumberFormat="1" applyFont="1" applyFill="1" applyBorder="1" applyAlignment="1">
      <alignment vertical="center"/>
    </xf>
    <xf numFmtId="4" fontId="4" fillId="11" borderId="63" xfId="0" applyNumberFormat="1" applyFont="1" applyFill="1" applyBorder="1" applyAlignment="1">
      <alignment vertical="center"/>
    </xf>
    <xf numFmtId="0" fontId="12" fillId="2" borderId="75" xfId="0" applyFont="1" applyFill="1" applyBorder="1" applyAlignment="1">
      <alignment vertical="center"/>
    </xf>
    <xf numFmtId="0" fontId="12" fillId="2" borderId="63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3" fillId="11" borderId="40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4" fontId="3" fillId="11" borderId="19" xfId="0" applyNumberFormat="1" applyFont="1" applyFill="1" applyBorder="1" applyAlignment="1">
      <alignment vertical="center"/>
    </xf>
    <xf numFmtId="4" fontId="18" fillId="10" borderId="3" xfId="0" applyNumberFormat="1" applyFont="1" applyFill="1" applyBorder="1" applyAlignment="1">
      <alignment horizontal="center" vertical="center" wrapText="1"/>
    </xf>
    <xf numFmtId="4" fontId="18" fillId="10" borderId="38" xfId="0" applyNumberFormat="1" applyFont="1" applyFill="1" applyBorder="1" applyAlignment="1">
      <alignment horizontal="center" vertical="center" wrapText="1"/>
    </xf>
    <xf numFmtId="0" fontId="12" fillId="10" borderId="75" xfId="0" applyFont="1" applyFill="1" applyBorder="1" applyAlignment="1">
      <alignment horizontal="center" vertical="center" wrapText="1"/>
    </xf>
    <xf numFmtId="0" fontId="16" fillId="10" borderId="63" xfId="0" applyFont="1" applyFill="1" applyBorder="1" applyAlignment="1">
      <alignment horizontal="center" vertical="center" wrapText="1"/>
    </xf>
    <xf numFmtId="4" fontId="12" fillId="10" borderId="63" xfId="0" applyNumberFormat="1" applyFont="1" applyFill="1" applyBorder="1" applyAlignment="1">
      <alignment horizontal="center" vertical="center" wrapText="1"/>
    </xf>
    <xf numFmtId="171" fontId="18" fillId="10" borderId="28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2" fontId="4" fillId="10" borderId="32" xfId="0" applyNumberFormat="1" applyFont="1" applyFill="1" applyBorder="1" applyAlignment="1">
      <alignment vertical="center" wrapText="1"/>
    </xf>
    <xf numFmtId="2" fontId="4" fillId="10" borderId="19" xfId="0" applyNumberFormat="1" applyFont="1" applyFill="1" applyBorder="1" applyAlignment="1">
      <alignment vertical="center" wrapText="1"/>
    </xf>
    <xf numFmtId="2" fontId="4" fillId="10" borderId="33" xfId="0" applyNumberFormat="1" applyFont="1" applyFill="1" applyBorder="1" applyAlignment="1">
      <alignment vertical="center" wrapText="1"/>
    </xf>
    <xf numFmtId="2" fontId="4" fillId="10" borderId="24" xfId="0" applyNumberFormat="1" applyFont="1" applyFill="1" applyBorder="1" applyAlignment="1">
      <alignment vertical="center" wrapText="1"/>
    </xf>
    <xf numFmtId="0" fontId="12" fillId="10" borderId="66" xfId="0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center" vertical="center"/>
    </xf>
    <xf numFmtId="166" fontId="20" fillId="13" borderId="2" xfId="0" applyNumberFormat="1" applyFont="1" applyFill="1" applyBorder="1" applyAlignment="1">
      <alignment horizontal="center" vertical="center" wrapText="1"/>
    </xf>
    <xf numFmtId="4" fontId="15" fillId="10" borderId="26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vertical="center" wrapText="1"/>
    </xf>
    <xf numFmtId="165" fontId="4" fillId="4" borderId="24" xfId="0" applyNumberFormat="1" applyFont="1" applyFill="1" applyBorder="1" applyAlignment="1">
      <alignment vertical="center" wrapText="1"/>
    </xf>
    <xf numFmtId="165" fontId="4" fillId="4" borderId="13" xfId="0" applyNumberFormat="1" applyFont="1" applyFill="1" applyBorder="1" applyAlignment="1">
      <alignment vertical="center" wrapText="1"/>
    </xf>
    <xf numFmtId="4" fontId="12" fillId="3" borderId="12" xfId="0" applyNumberFormat="1" applyFont="1" applyFill="1" applyBorder="1" applyAlignment="1">
      <alignment vertical="center"/>
    </xf>
    <xf numFmtId="4" fontId="15" fillId="4" borderId="39" xfId="0" applyNumberFormat="1" applyFont="1" applyFill="1" applyBorder="1" applyAlignment="1">
      <alignment horizontal="center" vertical="center" wrapText="1"/>
    </xf>
    <xf numFmtId="4" fontId="11" fillId="10" borderId="39" xfId="0" applyNumberFormat="1" applyFont="1" applyFill="1" applyBorder="1" applyAlignment="1">
      <alignment horizontal="center" vertical="center" wrapText="1"/>
    </xf>
    <xf numFmtId="4" fontId="12" fillId="10" borderId="66" xfId="0" applyNumberFormat="1" applyFont="1" applyFill="1" applyBorder="1" applyAlignment="1">
      <alignment horizontal="center" vertical="center" wrapText="1"/>
    </xf>
    <xf numFmtId="166" fontId="12" fillId="10" borderId="66" xfId="0" applyNumberFormat="1" applyFont="1" applyFill="1" applyBorder="1" applyAlignment="1">
      <alignment horizontal="center" vertical="center" wrapText="1"/>
    </xf>
    <xf numFmtId="0" fontId="15" fillId="10" borderId="77" xfId="0" applyFont="1" applyFill="1" applyBorder="1" applyAlignment="1">
      <alignment vertical="center" wrapText="1"/>
    </xf>
    <xf numFmtId="164" fontId="15" fillId="10" borderId="77" xfId="0" applyNumberFormat="1" applyFont="1" applyFill="1" applyBorder="1" applyAlignment="1">
      <alignment horizontal="center" vertical="center" wrapText="1"/>
    </xf>
    <xf numFmtId="0" fontId="4" fillId="10" borderId="77" xfId="0" applyFont="1" applyFill="1" applyBorder="1" applyAlignment="1">
      <alignment vertical="center" wrapText="1"/>
    </xf>
    <xf numFmtId="0" fontId="12" fillId="11" borderId="77" xfId="0" applyFont="1" applyFill="1" applyBorder="1" applyAlignment="1">
      <alignment vertical="center"/>
    </xf>
    <xf numFmtId="0" fontId="16" fillId="11" borderId="77" xfId="0" applyFont="1" applyFill="1" applyBorder="1" applyAlignment="1">
      <alignment vertical="center"/>
    </xf>
    <xf numFmtId="4" fontId="12" fillId="11" borderId="77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horizontal="center" vertical="center" wrapText="1"/>
    </xf>
    <xf numFmtId="4" fontId="11" fillId="10" borderId="21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3" fontId="15" fillId="10" borderId="19" xfId="0" applyNumberFormat="1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3" fontId="18" fillId="10" borderId="12" xfId="2" applyNumberFormat="1" applyFont="1" applyFill="1" applyBorder="1" applyAlignment="1">
      <alignment horizontal="center" vertical="center" wrapText="1"/>
    </xf>
    <xf numFmtId="3" fontId="18" fillId="10" borderId="13" xfId="2" applyNumberFormat="1" applyFont="1" applyFill="1" applyBorder="1" applyAlignment="1">
      <alignment horizontal="center" vertical="center" wrapText="1"/>
    </xf>
    <xf numFmtId="166" fontId="6" fillId="10" borderId="66" xfId="0" applyNumberFormat="1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4" fontId="15" fillId="10" borderId="28" xfId="0" applyNumberFormat="1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4" fontId="15" fillId="10" borderId="19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  <xf numFmtId="4" fontId="15" fillId="10" borderId="13" xfId="0" applyNumberFormat="1" applyFont="1" applyFill="1" applyBorder="1" applyAlignment="1">
      <alignment horizontal="center" vertical="center" wrapText="1"/>
    </xf>
    <xf numFmtId="166" fontId="11" fillId="10" borderId="19" xfId="0" applyNumberFormat="1" applyFont="1" applyFill="1" applyBorder="1" applyAlignment="1">
      <alignment horizontal="center" vertical="center" wrapText="1"/>
    </xf>
    <xf numFmtId="166" fontId="11" fillId="10" borderId="2" xfId="0" applyNumberFormat="1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0" fontId="4" fillId="10" borderId="69" xfId="0" applyFont="1" applyFill="1" applyBorder="1" applyAlignment="1">
      <alignment horizontal="center" vertical="center" wrapText="1"/>
    </xf>
    <xf numFmtId="165" fontId="15" fillId="10" borderId="19" xfId="0" applyNumberFormat="1" applyFont="1" applyFill="1" applyBorder="1" applyAlignment="1">
      <alignment horizontal="center" vertical="center" wrapText="1"/>
    </xf>
    <xf numFmtId="0" fontId="11" fillId="10" borderId="66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4" fontId="6" fillId="10" borderId="2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4" fontId="15" fillId="10" borderId="21" xfId="0" applyNumberFormat="1" applyFont="1" applyFill="1" applyBorder="1" applyAlignment="1">
      <alignment horizontal="center" vertical="center" wrapText="1"/>
    </xf>
    <xf numFmtId="4" fontId="15" fillId="10" borderId="39" xfId="0" applyNumberFormat="1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4" fontId="11" fillId="10" borderId="19" xfId="0" applyNumberFormat="1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166" fontId="15" fillId="10" borderId="19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166" fontId="18" fillId="10" borderId="13" xfId="0" applyNumberFormat="1" applyFont="1" applyFill="1" applyBorder="1" applyAlignment="1">
      <alignment horizontal="center" vertical="center"/>
    </xf>
    <xf numFmtId="166" fontId="18" fillId="1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10" borderId="64" xfId="0" applyFont="1" applyFill="1" applyBorder="1" applyAlignment="1">
      <alignment horizontal="center" vertical="center" wrapText="1"/>
    </xf>
    <xf numFmtId="0" fontId="15" fillId="10" borderId="6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6" fontId="6" fillId="10" borderId="58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4" fontId="15" fillId="10" borderId="24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4" fontId="15" fillId="10" borderId="25" xfId="0" applyNumberFormat="1" applyFont="1" applyFill="1" applyBorder="1" applyAlignment="1">
      <alignment horizontal="center" vertical="center" wrapText="1"/>
    </xf>
    <xf numFmtId="4" fontId="19" fillId="10" borderId="19" xfId="0" applyNumberFormat="1" applyFont="1" applyFill="1" applyBorder="1" applyAlignment="1">
      <alignment horizontal="center" vertical="center" wrapText="1"/>
    </xf>
    <xf numFmtId="4" fontId="19" fillId="10" borderId="2" xfId="0" applyNumberFormat="1" applyFont="1" applyFill="1" applyBorder="1" applyAlignment="1">
      <alignment horizontal="center" vertical="center" wrapText="1"/>
    </xf>
    <xf numFmtId="4" fontId="15" fillId="10" borderId="48" xfId="0" applyNumberFormat="1" applyFont="1" applyFill="1" applyBorder="1" applyAlignment="1">
      <alignment horizontal="center" vertical="center" wrapText="1"/>
    </xf>
    <xf numFmtId="166" fontId="15" fillId="10" borderId="21" xfId="0" applyNumberFormat="1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66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2" fontId="18" fillId="10" borderId="2" xfId="0" applyNumberFormat="1" applyFont="1" applyFill="1" applyBorder="1" applyAlignment="1">
      <alignment horizontal="center" vertical="center" wrapText="1"/>
    </xf>
    <xf numFmtId="3" fontId="18" fillId="10" borderId="13" xfId="0" applyNumberFormat="1" applyFont="1" applyFill="1" applyBorder="1" applyAlignment="1">
      <alignment horizontal="center" vertical="center"/>
    </xf>
    <xf numFmtId="2" fontId="18" fillId="10" borderId="63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4" fontId="4" fillId="10" borderId="15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11" borderId="63" xfId="0" applyFont="1" applyFill="1" applyBorder="1" applyAlignment="1">
      <alignment horizontal="center" vertical="center" wrapText="1"/>
    </xf>
    <xf numFmtId="0" fontId="15" fillId="11" borderId="69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2" fontId="15" fillId="10" borderId="19" xfId="0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2" fontId="15" fillId="10" borderId="24" xfId="0" applyNumberFormat="1" applyFont="1" applyFill="1" applyBorder="1" applyAlignment="1">
      <alignment horizontal="center" vertical="center" wrapText="1"/>
    </xf>
    <xf numFmtId="4" fontId="4" fillId="10" borderId="12" xfId="0" applyNumberFormat="1" applyFont="1" applyFill="1" applyBorder="1" applyAlignment="1">
      <alignment horizontal="center" vertical="center" wrapText="1"/>
    </xf>
    <xf numFmtId="4" fontId="4" fillId="10" borderId="13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" fontId="15" fillId="10" borderId="53" xfId="0" applyNumberFormat="1" applyFont="1" applyFill="1" applyBorder="1" applyAlignment="1">
      <alignment horizontal="center" vertical="center" wrapText="1"/>
    </xf>
    <xf numFmtId="4" fontId="11" fillId="10" borderId="12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2" fontId="4" fillId="10" borderId="47" xfId="0" applyNumberFormat="1" applyFont="1" applyFill="1" applyBorder="1" applyAlignment="1">
      <alignment horizontal="center" vertical="center" wrapText="1"/>
    </xf>
    <xf numFmtId="2" fontId="4" fillId="10" borderId="15" xfId="0" applyNumberFormat="1" applyFont="1" applyFill="1" applyBorder="1" applyAlignment="1">
      <alignment horizontal="center" vertical="center" wrapText="1"/>
    </xf>
    <xf numFmtId="0" fontId="11" fillId="10" borderId="58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/>
    </xf>
    <xf numFmtId="2" fontId="6" fillId="10" borderId="19" xfId="0" applyNumberFormat="1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 wrapText="1"/>
    </xf>
    <xf numFmtId="2" fontId="6" fillId="10" borderId="24" xfId="0" applyNumberFormat="1" applyFont="1" applyFill="1" applyBorder="1" applyAlignment="1">
      <alignment horizontal="center" vertical="center" wrapText="1"/>
    </xf>
    <xf numFmtId="0" fontId="15" fillId="10" borderId="69" xfId="0" applyFont="1" applyFill="1" applyBorder="1" applyAlignment="1">
      <alignment horizontal="center" vertical="center" wrapText="1"/>
    </xf>
    <xf numFmtId="2" fontId="4" fillId="10" borderId="19" xfId="0" applyNumberFormat="1" applyFont="1" applyFill="1" applyBorder="1" applyAlignment="1">
      <alignment horizontal="center" vertical="center" wrapText="1"/>
    </xf>
    <xf numFmtId="2" fontId="4" fillId="10" borderId="24" xfId="0" applyNumberFormat="1" applyFont="1" applyFill="1" applyBorder="1" applyAlignment="1">
      <alignment horizontal="center" vertical="center" wrapText="1"/>
    </xf>
    <xf numFmtId="0" fontId="15" fillId="10" borderId="58" xfId="0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left" vertical="center" wrapText="1"/>
    </xf>
    <xf numFmtId="166" fontId="9" fillId="10" borderId="15" xfId="0" applyNumberFormat="1" applyFont="1" applyFill="1" applyBorder="1" applyAlignment="1">
      <alignment horizontal="center" vertical="center"/>
    </xf>
    <xf numFmtId="166" fontId="9" fillId="10" borderId="13" xfId="0" applyNumberFormat="1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165" fontId="15" fillId="10" borderId="13" xfId="0" applyNumberFormat="1" applyFont="1" applyFill="1" applyBorder="1" applyAlignment="1">
      <alignment horizontal="left" vertical="center" wrapText="1"/>
    </xf>
    <xf numFmtId="4" fontId="15" fillId="1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10" borderId="59" xfId="0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/>
    </xf>
    <xf numFmtId="3" fontId="18" fillId="10" borderId="24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165" fontId="15" fillId="10" borderId="12" xfId="0" applyNumberFormat="1" applyFont="1" applyFill="1" applyBorder="1" applyAlignment="1">
      <alignment horizontal="left" vertical="center" wrapText="1"/>
    </xf>
    <xf numFmtId="0" fontId="15" fillId="10" borderId="37" xfId="0" applyFont="1" applyFill="1" applyBorder="1" applyAlignment="1">
      <alignment horizontal="center" vertical="center" wrapText="1"/>
    </xf>
    <xf numFmtId="166" fontId="15" fillId="10" borderId="53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4" borderId="69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18" fillId="10" borderId="21" xfId="0" applyNumberFormat="1" applyFont="1" applyFill="1" applyBorder="1" applyAlignment="1">
      <alignment horizontal="center" vertical="center" wrapText="1"/>
    </xf>
    <xf numFmtId="4" fontId="18" fillId="1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6" fillId="10" borderId="15" xfId="0" applyNumberFormat="1" applyFont="1" applyFill="1" applyBorder="1" applyAlignment="1">
      <alignment horizontal="center" vertical="center" wrapText="1"/>
    </xf>
    <xf numFmtId="4" fontId="18" fillId="10" borderId="26" xfId="0" applyNumberFormat="1" applyFont="1" applyFill="1" applyBorder="1" applyAlignment="1">
      <alignment horizontal="center" vertical="center" wrapText="1"/>
    </xf>
    <xf numFmtId="4" fontId="18" fillId="4" borderId="15" xfId="0" applyNumberFormat="1" applyFont="1" applyFill="1" applyBorder="1" applyAlignment="1">
      <alignment horizontal="center" vertical="center" wrapText="1"/>
    </xf>
    <xf numFmtId="4" fontId="15" fillId="10" borderId="58" xfId="0" applyNumberFormat="1" applyFont="1" applyFill="1" applyBorder="1" applyAlignment="1">
      <alignment horizontal="center" vertical="center" wrapText="1"/>
    </xf>
    <xf numFmtId="4" fontId="15" fillId="10" borderId="59" xfId="0" applyNumberFormat="1" applyFont="1" applyFill="1" applyBorder="1" applyAlignment="1">
      <alignment horizontal="center" vertical="center" wrapText="1"/>
    </xf>
    <xf numFmtId="4" fontId="11" fillId="10" borderId="26" xfId="0" applyNumberFormat="1" applyFont="1" applyFill="1" applyBorder="1" applyAlignment="1">
      <alignment horizontal="center" vertical="center" wrapText="1"/>
    </xf>
    <xf numFmtId="4" fontId="15" fillId="10" borderId="31" xfId="0" applyNumberFormat="1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4" fontId="11" fillId="10" borderId="24" xfId="0" applyNumberFormat="1" applyFont="1" applyFill="1" applyBorder="1" applyAlignment="1">
      <alignment horizontal="center" vertical="center" wrapText="1"/>
    </xf>
    <xf numFmtId="4" fontId="11" fillId="10" borderId="66" xfId="0" applyNumberFormat="1" applyFont="1" applyFill="1" applyBorder="1" applyAlignment="1">
      <alignment horizontal="center" vertical="center" wrapText="1"/>
    </xf>
    <xf numFmtId="4" fontId="11" fillId="10" borderId="69" xfId="0" applyNumberFormat="1" applyFont="1" applyFill="1" applyBorder="1" applyAlignment="1">
      <alignment horizontal="center" vertical="center" wrapText="1"/>
    </xf>
    <xf numFmtId="3" fontId="10" fillId="10" borderId="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20" fillId="7" borderId="7" xfId="0" applyFont="1" applyFill="1" applyBorder="1" applyAlignment="1">
      <alignment horizontal="center" vertical="center" wrapText="1"/>
    </xf>
    <xf numFmtId="171" fontId="4" fillId="10" borderId="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3" fontId="9" fillId="10" borderId="2" xfId="2" applyNumberFormat="1" applyFont="1" applyFill="1" applyBorder="1" applyAlignment="1">
      <alignment horizontal="center" vertical="center" wrapText="1"/>
    </xf>
    <xf numFmtId="4" fontId="11" fillId="10" borderId="13" xfId="0" applyNumberFormat="1" applyFont="1" applyFill="1" applyBorder="1" applyAlignment="1">
      <alignment horizontal="center" vertical="center" wrapText="1"/>
    </xf>
    <xf numFmtId="3" fontId="9" fillId="10" borderId="12" xfId="0" applyNumberFormat="1" applyFont="1" applyFill="1" applyBorder="1" applyAlignment="1">
      <alignment horizontal="center" vertical="center"/>
    </xf>
    <xf numFmtId="3" fontId="9" fillId="10" borderId="13" xfId="0" applyNumberFormat="1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166" fontId="18" fillId="10" borderId="19" xfId="0" applyNumberFormat="1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3" fontId="18" fillId="10" borderId="2" xfId="2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4" fontId="18" fillId="10" borderId="15" xfId="0" applyNumberFormat="1" applyFont="1" applyFill="1" applyBorder="1" applyAlignment="1">
      <alignment horizontal="center" vertical="center" wrapText="1"/>
    </xf>
    <xf numFmtId="4" fontId="18" fillId="10" borderId="23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2" fontId="19" fillId="10" borderId="2" xfId="0" applyNumberFormat="1" applyFont="1" applyFill="1" applyBorder="1" applyAlignment="1">
      <alignment horizontal="center" vertical="center" wrapText="1"/>
    </xf>
    <xf numFmtId="2" fontId="19" fillId="10" borderId="24" xfId="0" applyNumberFormat="1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4" fontId="18" fillId="10" borderId="19" xfId="0" applyNumberFormat="1" applyFont="1" applyFill="1" applyBorder="1" applyAlignment="1">
      <alignment horizontal="center" vertical="center" wrapText="1"/>
    </xf>
    <xf numFmtId="2" fontId="15" fillId="10" borderId="15" xfId="0" applyNumberFormat="1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3" fontId="18" fillId="10" borderId="12" xfId="0" applyNumberFormat="1" applyFont="1" applyFill="1" applyBorder="1" applyAlignment="1">
      <alignment horizontal="center" vertical="center"/>
    </xf>
    <xf numFmtId="4" fontId="4" fillId="10" borderId="2" xfId="0" applyNumberFormat="1" applyFont="1" applyFill="1" applyBorder="1" applyAlignment="1">
      <alignment horizontal="center" vertical="center" wrapText="1"/>
    </xf>
    <xf numFmtId="171" fontId="18" fillId="4" borderId="2" xfId="0" applyNumberFormat="1" applyFont="1" applyFill="1" applyBorder="1" applyAlignment="1">
      <alignment horizontal="center" vertical="center" wrapText="1"/>
    </xf>
    <xf numFmtId="3" fontId="15" fillId="10" borderId="58" xfId="0" applyNumberFormat="1" applyFont="1" applyFill="1" applyBorder="1" applyAlignment="1">
      <alignment horizontal="center" vertical="center" wrapText="1"/>
    </xf>
    <xf numFmtId="164" fontId="15" fillId="10" borderId="19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6" fontId="11" fillId="10" borderId="13" xfId="0" applyNumberFormat="1" applyFont="1" applyFill="1" applyBorder="1" applyAlignment="1">
      <alignment horizontal="center" vertical="center" wrapText="1"/>
    </xf>
    <xf numFmtId="2" fontId="4" fillId="10" borderId="22" xfId="0" applyNumberFormat="1" applyFont="1" applyFill="1" applyBorder="1" applyAlignment="1">
      <alignment horizontal="center" vertical="center" wrapText="1"/>
    </xf>
    <xf numFmtId="166" fontId="9" fillId="10" borderId="2" xfId="0" applyNumberFormat="1" applyFont="1" applyFill="1" applyBorder="1" applyAlignment="1">
      <alignment horizontal="center" vertical="center"/>
    </xf>
    <xf numFmtId="4" fontId="4" fillId="10" borderId="23" xfId="0" applyNumberFormat="1" applyFont="1" applyFill="1" applyBorder="1" applyAlignment="1">
      <alignment horizontal="center" vertical="center" wrapText="1"/>
    </xf>
    <xf numFmtId="165" fontId="15" fillId="10" borderId="69" xfId="0" applyNumberFormat="1" applyFont="1" applyFill="1" applyBorder="1" applyAlignment="1">
      <alignment horizontal="left" vertical="center" wrapText="1"/>
    </xf>
    <xf numFmtId="4" fontId="18" fillId="10" borderId="12" xfId="0" applyNumberFormat="1" applyFont="1" applyFill="1" applyBorder="1" applyAlignment="1">
      <alignment horizontal="center" vertical="center" wrapText="1"/>
    </xf>
    <xf numFmtId="4" fontId="18" fillId="10" borderId="1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10" borderId="13" xfId="0" applyNumberFormat="1" applyFont="1" applyFill="1" applyBorder="1" applyAlignment="1">
      <alignment horizontal="center" vertical="center" wrapText="1"/>
    </xf>
    <xf numFmtId="3" fontId="15" fillId="10" borderId="12" xfId="0" applyNumberFormat="1" applyFont="1" applyFill="1" applyBorder="1" applyAlignment="1">
      <alignment horizontal="center" vertical="center" wrapText="1"/>
    </xf>
    <xf numFmtId="3" fontId="15" fillId="10" borderId="13" xfId="0" applyNumberFormat="1" applyFont="1" applyFill="1" applyBorder="1" applyAlignment="1">
      <alignment horizontal="center" vertical="center" wrapText="1"/>
    </xf>
    <xf numFmtId="166" fontId="15" fillId="10" borderId="12" xfId="0" applyNumberFormat="1" applyFont="1" applyFill="1" applyBorder="1" applyAlignment="1">
      <alignment horizontal="center" vertical="center" wrapText="1"/>
    </xf>
    <xf numFmtId="166" fontId="15" fillId="1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15" fillId="11" borderId="69" xfId="0" applyNumberFormat="1" applyFont="1" applyFill="1" applyBorder="1" applyAlignment="1">
      <alignment horizontal="center" vertical="center"/>
    </xf>
    <xf numFmtId="2" fontId="6" fillId="10" borderId="12" xfId="0" applyNumberFormat="1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11" fillId="10" borderId="12" xfId="0" applyNumberFormat="1" applyFont="1" applyFill="1" applyBorder="1" applyAlignment="1">
      <alignment horizontal="center" vertical="center" wrapText="1"/>
    </xf>
    <xf numFmtId="2" fontId="11" fillId="10" borderId="13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4" fontId="15" fillId="10" borderId="12" xfId="0" applyNumberFormat="1" applyFont="1" applyFill="1" applyBorder="1" applyAlignment="1">
      <alignment horizontal="center" vertical="center" wrapText="1"/>
    </xf>
    <xf numFmtId="0" fontId="15" fillId="11" borderId="59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vertical="center" wrapText="1"/>
    </xf>
    <xf numFmtId="0" fontId="11" fillId="10" borderId="13" xfId="0" applyFont="1" applyFill="1" applyBorder="1" applyAlignment="1">
      <alignment vertical="center" wrapText="1"/>
    </xf>
    <xf numFmtId="164" fontId="11" fillId="10" borderId="13" xfId="0" applyNumberFormat="1" applyFont="1" applyFill="1" applyBorder="1" applyAlignment="1">
      <alignment horizontal="center" vertical="center" wrapText="1"/>
    </xf>
    <xf numFmtId="167" fontId="11" fillId="10" borderId="13" xfId="0" applyNumberFormat="1" applyFont="1" applyFill="1" applyBorder="1" applyAlignment="1">
      <alignment horizontal="center" vertical="center" wrapText="1"/>
    </xf>
    <xf numFmtId="2" fontId="4" fillId="11" borderId="12" xfId="0" applyNumberFormat="1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left" vertical="center" wrapText="1"/>
    </xf>
    <xf numFmtId="0" fontId="15" fillId="11" borderId="63" xfId="0" applyFont="1" applyFill="1" applyBorder="1" applyAlignment="1">
      <alignment horizontal="center" vertical="center"/>
    </xf>
    <xf numFmtId="164" fontId="18" fillId="10" borderId="23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2" fontId="15" fillId="10" borderId="12" xfId="0" applyNumberFormat="1" applyFont="1" applyFill="1" applyBorder="1" applyAlignment="1">
      <alignment horizontal="center" vertical="center" wrapText="1"/>
    </xf>
    <xf numFmtId="166" fontId="10" fillId="10" borderId="19" xfId="0" applyNumberFormat="1" applyFont="1" applyFill="1" applyBorder="1" applyAlignment="1">
      <alignment horizontal="center" vertical="center" wrapText="1"/>
    </xf>
    <xf numFmtId="166" fontId="10" fillId="10" borderId="24" xfId="0" applyNumberFormat="1" applyFont="1" applyFill="1" applyBorder="1" applyAlignment="1">
      <alignment horizontal="center" vertical="center" wrapText="1"/>
    </xf>
    <xf numFmtId="4" fontId="15" fillId="10" borderId="69" xfId="0" applyNumberFormat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2" fontId="15" fillId="10" borderId="69" xfId="0" applyNumberFormat="1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166" fontId="10" fillId="10" borderId="12" xfId="0" applyNumberFormat="1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5" fillId="10" borderId="77" xfId="0" applyFont="1" applyFill="1" applyBorder="1" applyAlignment="1">
      <alignment horizontal="center" vertical="center" wrapText="1"/>
    </xf>
    <xf numFmtId="166" fontId="15" fillId="10" borderId="24" xfId="0" applyNumberFormat="1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vertical="center" wrapText="1"/>
    </xf>
    <xf numFmtId="167" fontId="11" fillId="10" borderId="66" xfId="0" applyNumberFormat="1" applyFont="1" applyFill="1" applyBorder="1" applyAlignment="1">
      <alignment horizontal="center" vertical="center" wrapText="1"/>
    </xf>
    <xf numFmtId="164" fontId="18" fillId="10" borderId="2" xfId="0" applyNumberFormat="1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/>
    </xf>
    <xf numFmtId="4" fontId="18" fillId="10" borderId="69" xfId="0" applyNumberFormat="1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4" fillId="10" borderId="7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11" fillId="10" borderId="25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15" fillId="10" borderId="46" xfId="0" applyFont="1" applyFill="1" applyBorder="1" applyAlignment="1">
      <alignment horizontal="center" vertical="center" wrapText="1"/>
    </xf>
    <xf numFmtId="167" fontId="11" fillId="10" borderId="69" xfId="0" applyNumberFormat="1" applyFont="1" applyFill="1" applyBorder="1" applyAlignment="1">
      <alignment horizontal="center" vertical="center" wrapText="1"/>
    </xf>
    <xf numFmtId="164" fontId="4" fillId="10" borderId="13" xfId="0" applyNumberFormat="1" applyFont="1" applyFill="1" applyBorder="1" applyAlignment="1">
      <alignment horizontal="center" vertical="center" wrapText="1"/>
    </xf>
    <xf numFmtId="0" fontId="11" fillId="11" borderId="69" xfId="0" applyFont="1" applyFill="1" applyBorder="1" applyAlignment="1">
      <alignment horizontal="center" vertical="center"/>
    </xf>
    <xf numFmtId="2" fontId="4" fillId="11" borderId="2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horizontal="center" vertical="center" wrapText="1"/>
    </xf>
    <xf numFmtId="165" fontId="11" fillId="1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6" fontId="11" fillId="10" borderId="2" xfId="0" applyNumberFormat="1" applyFont="1" applyFill="1" applyBorder="1" applyAlignment="1">
      <alignment horizontal="center" vertical="center" wrapText="1"/>
    </xf>
    <xf numFmtId="4" fontId="15" fillId="10" borderId="2" xfId="2" applyNumberFormat="1" applyFont="1" applyFill="1" applyBorder="1" applyAlignment="1">
      <alignment horizontal="center" vertical="center" wrapText="1"/>
    </xf>
    <xf numFmtId="0" fontId="11" fillId="10" borderId="66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66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5" fillId="10" borderId="66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166" fontId="11" fillId="10" borderId="66" xfId="0" applyNumberFormat="1" applyFont="1" applyFill="1" applyBorder="1" applyAlignment="1">
      <alignment horizontal="center" vertical="center" wrapText="1"/>
    </xf>
    <xf numFmtId="166" fontId="11" fillId="10" borderId="13" xfId="0" applyNumberFormat="1" applyFont="1" applyFill="1" applyBorder="1" applyAlignment="1">
      <alignment horizontal="center" vertical="center" wrapText="1"/>
    </xf>
    <xf numFmtId="4" fontId="11" fillId="10" borderId="66" xfId="0" applyNumberFormat="1" applyFont="1" applyFill="1" applyBorder="1" applyAlignment="1">
      <alignment horizontal="center" vertical="center" wrapText="1"/>
    </xf>
    <xf numFmtId="4" fontId="11" fillId="10" borderId="13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11" borderId="73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2" fontId="4" fillId="10" borderId="7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50" xfId="0" applyNumberFormat="1" applyFont="1" applyFill="1" applyBorder="1" applyAlignment="1">
      <alignment horizontal="center" vertical="center" wrapText="1"/>
    </xf>
    <xf numFmtId="2" fontId="4" fillId="10" borderId="22" xfId="0" applyNumberFormat="1" applyFont="1" applyFill="1" applyBorder="1" applyAlignment="1">
      <alignment horizontal="center" vertical="center" wrapText="1"/>
    </xf>
    <xf numFmtId="2" fontId="4" fillId="10" borderId="19" xfId="0" applyNumberFormat="1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horizontal="center" vertical="center" wrapText="1"/>
    </xf>
    <xf numFmtId="2" fontId="4" fillId="10" borderId="24" xfId="0" applyNumberFormat="1" applyFont="1" applyFill="1" applyBorder="1" applyAlignment="1">
      <alignment horizontal="center" vertical="center" wrapText="1"/>
    </xf>
    <xf numFmtId="166" fontId="9" fillId="10" borderId="19" xfId="0" applyNumberFormat="1" applyFont="1" applyFill="1" applyBorder="1" applyAlignment="1">
      <alignment horizontal="center" vertical="center"/>
    </xf>
    <xf numFmtId="166" fontId="9" fillId="10" borderId="2" xfId="0" applyNumberFormat="1" applyFont="1" applyFill="1" applyBorder="1" applyAlignment="1">
      <alignment horizontal="center" vertical="center"/>
    </xf>
    <xf numFmtId="166" fontId="9" fillId="10" borderId="24" xfId="0" applyNumberFormat="1" applyFont="1" applyFill="1" applyBorder="1" applyAlignment="1">
      <alignment horizontal="center" vertical="center"/>
    </xf>
    <xf numFmtId="166" fontId="10" fillId="10" borderId="19" xfId="0" applyNumberFormat="1" applyFont="1" applyFill="1" applyBorder="1" applyAlignment="1">
      <alignment horizontal="center" vertical="center"/>
    </xf>
    <xf numFmtId="166" fontId="10" fillId="10" borderId="2" xfId="0" applyNumberFormat="1" applyFont="1" applyFill="1" applyBorder="1" applyAlignment="1">
      <alignment horizontal="center" vertical="center"/>
    </xf>
    <xf numFmtId="166" fontId="10" fillId="10" borderId="24" xfId="0" applyNumberFormat="1" applyFont="1" applyFill="1" applyBorder="1" applyAlignment="1">
      <alignment horizontal="center" vertical="center"/>
    </xf>
    <xf numFmtId="2" fontId="6" fillId="10" borderId="19" xfId="0" applyNumberFormat="1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 wrapText="1"/>
    </xf>
    <xf numFmtId="2" fontId="6" fillId="10" borderId="24" xfId="0" applyNumberFormat="1" applyFont="1" applyFill="1" applyBorder="1" applyAlignment="1">
      <alignment horizontal="center" vertical="center" wrapText="1"/>
    </xf>
    <xf numFmtId="4" fontId="4" fillId="10" borderId="18" xfId="0" applyNumberFormat="1" applyFont="1" applyFill="1" applyBorder="1" applyAlignment="1">
      <alignment horizontal="center" vertical="center" wrapText="1"/>
    </xf>
    <xf numFmtId="4" fontId="4" fillId="10" borderId="23" xfId="0" applyNumberFormat="1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58" xfId="0" applyFont="1" applyFill="1" applyBorder="1" applyAlignment="1">
      <alignment horizontal="center" vertical="center" wrapText="1"/>
    </xf>
    <xf numFmtId="4" fontId="15" fillId="10" borderId="53" xfId="0" applyNumberFormat="1" applyFont="1" applyFill="1" applyBorder="1" applyAlignment="1">
      <alignment horizontal="center" vertical="center" wrapText="1"/>
    </xf>
    <xf numFmtId="4" fontId="15" fillId="10" borderId="56" xfId="0" applyNumberFormat="1" applyFont="1" applyFill="1" applyBorder="1" applyAlignment="1">
      <alignment horizontal="center" vertical="center" wrapText="1"/>
    </xf>
    <xf numFmtId="4" fontId="15" fillId="10" borderId="52" xfId="0" applyNumberFormat="1" applyFont="1" applyFill="1" applyBorder="1" applyAlignment="1">
      <alignment horizontal="center" vertical="center" wrapText="1"/>
    </xf>
    <xf numFmtId="165" fontId="15" fillId="10" borderId="19" xfId="0" applyNumberFormat="1" applyFont="1" applyFill="1" applyBorder="1" applyAlignment="1">
      <alignment horizontal="left" vertical="center" wrapText="1"/>
    </xf>
    <xf numFmtId="165" fontId="15" fillId="10" borderId="2" xfId="0" applyNumberFormat="1" applyFont="1" applyFill="1" applyBorder="1" applyAlignment="1">
      <alignment horizontal="left" vertical="center" wrapText="1"/>
    </xf>
    <xf numFmtId="165" fontId="15" fillId="10" borderId="69" xfId="0" applyNumberFormat="1" applyFont="1" applyFill="1" applyBorder="1" applyAlignment="1">
      <alignment horizontal="left" vertical="center" wrapText="1"/>
    </xf>
    <xf numFmtId="0" fontId="11" fillId="10" borderId="53" xfId="0" applyFont="1" applyFill="1" applyBorder="1" applyAlignment="1">
      <alignment horizontal="center" vertical="center" wrapText="1"/>
    </xf>
    <xf numFmtId="0" fontId="11" fillId="10" borderId="56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4" fontId="15" fillId="10" borderId="20" xfId="0" applyNumberFormat="1" applyFont="1" applyFill="1" applyBorder="1" applyAlignment="1">
      <alignment horizontal="center" vertical="center" wrapText="1"/>
    </xf>
    <xf numFmtId="4" fontId="15" fillId="10" borderId="21" xfId="0" applyNumberFormat="1" applyFont="1" applyFill="1" applyBorder="1" applyAlignment="1">
      <alignment horizontal="center" vertical="center" wrapText="1"/>
    </xf>
    <xf numFmtId="165" fontId="15" fillId="10" borderId="18" xfId="0" applyNumberFormat="1" applyFont="1" applyFill="1" applyBorder="1" applyAlignment="1">
      <alignment horizontal="left" vertical="center" wrapText="1"/>
    </xf>
    <xf numFmtId="165" fontId="15" fillId="10" borderId="23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9" fillId="10" borderId="18" xfId="0" applyNumberFormat="1" applyFont="1" applyFill="1" applyBorder="1" applyAlignment="1">
      <alignment horizontal="center" vertical="center" wrapText="1"/>
    </xf>
    <xf numFmtId="2" fontId="9" fillId="10" borderId="15" xfId="0" applyNumberFormat="1" applyFont="1" applyFill="1" applyBorder="1" applyAlignment="1">
      <alignment horizontal="center" vertical="center" wrapText="1"/>
    </xf>
    <xf numFmtId="2" fontId="9" fillId="10" borderId="23" xfId="0" applyNumberFormat="1" applyFont="1" applyFill="1" applyBorder="1" applyAlignment="1">
      <alignment horizontal="center" vertical="center" wrapText="1"/>
    </xf>
    <xf numFmtId="3" fontId="15" fillId="10" borderId="19" xfId="0" applyNumberFormat="1" applyFont="1" applyFill="1" applyBorder="1" applyAlignment="1">
      <alignment horizontal="center" vertical="center"/>
    </xf>
    <xf numFmtId="3" fontId="15" fillId="10" borderId="2" xfId="0" applyNumberFormat="1" applyFont="1" applyFill="1" applyBorder="1" applyAlignment="1">
      <alignment horizontal="center" vertical="center"/>
    </xf>
    <xf numFmtId="3" fontId="15" fillId="10" borderId="69" xfId="0" applyNumberFormat="1" applyFont="1" applyFill="1" applyBorder="1" applyAlignment="1">
      <alignment horizontal="center" vertical="center"/>
    </xf>
    <xf numFmtId="4" fontId="15" fillId="10" borderId="13" xfId="0" applyNumberFormat="1" applyFont="1" applyFill="1" applyBorder="1" applyAlignment="1">
      <alignment horizontal="center" vertical="center"/>
    </xf>
    <xf numFmtId="4" fontId="15" fillId="10" borderId="2" xfId="0" applyNumberFormat="1" applyFont="1" applyFill="1" applyBorder="1" applyAlignment="1">
      <alignment horizontal="center" vertical="center"/>
    </xf>
    <xf numFmtId="4" fontId="15" fillId="10" borderId="24" xfId="0" applyNumberFormat="1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 wrapText="1"/>
    </xf>
    <xf numFmtId="2" fontId="15" fillId="10" borderId="19" xfId="0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2" fontId="15" fillId="10" borderId="24" xfId="0" applyNumberFormat="1" applyFont="1" applyFill="1" applyBorder="1" applyAlignment="1">
      <alignment horizontal="center" vertical="center" wrapText="1"/>
    </xf>
    <xf numFmtId="0" fontId="11" fillId="10" borderId="58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4" fontId="18" fillId="10" borderId="12" xfId="0" applyNumberFormat="1" applyFont="1" applyFill="1" applyBorder="1" applyAlignment="1">
      <alignment horizontal="center" vertical="center" wrapText="1"/>
    </xf>
    <xf numFmtId="4" fontId="18" fillId="10" borderId="13" xfId="0" applyNumberFormat="1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left" vertical="center" wrapText="1"/>
    </xf>
    <xf numFmtId="0" fontId="11" fillId="10" borderId="12" xfId="0" applyFont="1" applyFill="1" applyBorder="1" applyAlignment="1">
      <alignment horizontal="center" vertical="center" wrapText="1"/>
    </xf>
    <xf numFmtId="166" fontId="11" fillId="10" borderId="12" xfId="0" applyNumberFormat="1" applyFont="1" applyFill="1" applyBorder="1" applyAlignment="1">
      <alignment horizontal="center" vertical="center" wrapText="1"/>
    </xf>
    <xf numFmtId="3" fontId="18" fillId="10" borderId="2" xfId="2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15" fillId="11" borderId="64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4" fillId="10" borderId="50" xfId="0" applyFont="1" applyFill="1" applyBorder="1" applyAlignment="1">
      <alignment horizontal="center" vertical="center" wrapText="1"/>
    </xf>
    <xf numFmtId="166" fontId="18" fillId="10" borderId="15" xfId="0" applyNumberFormat="1" applyFont="1" applyFill="1" applyBorder="1" applyAlignment="1">
      <alignment horizontal="center" vertical="center"/>
    </xf>
    <xf numFmtId="166" fontId="18" fillId="10" borderId="66" xfId="0" applyNumberFormat="1" applyFont="1" applyFill="1" applyBorder="1" applyAlignment="1">
      <alignment horizontal="center" vertical="center"/>
    </xf>
    <xf numFmtId="0" fontId="15" fillId="10" borderId="64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horizontal="center" vertical="center" wrapText="1"/>
    </xf>
    <xf numFmtId="0" fontId="4" fillId="10" borderId="66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3" fontId="18" fillId="10" borderId="18" xfId="0" applyNumberFormat="1" applyFont="1" applyFill="1" applyBorder="1" applyAlignment="1">
      <alignment horizontal="center" vertical="center"/>
    </xf>
    <xf numFmtId="3" fontId="18" fillId="10" borderId="23" xfId="0" applyNumberFormat="1" applyFont="1" applyFill="1" applyBorder="1" applyAlignment="1">
      <alignment horizontal="center" vertical="center"/>
    </xf>
    <xf numFmtId="166" fontId="15" fillId="10" borderId="66" xfId="0" applyNumberFormat="1" applyFont="1" applyFill="1" applyBorder="1" applyAlignment="1">
      <alignment horizontal="center" vertical="center"/>
    </xf>
    <xf numFmtId="166" fontId="15" fillId="10" borderId="23" xfId="0" applyNumberFormat="1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166" fontId="15" fillId="10" borderId="56" xfId="0" applyNumberFormat="1" applyFont="1" applyFill="1" applyBorder="1" applyAlignment="1">
      <alignment horizontal="center" vertical="center"/>
    </xf>
    <xf numFmtId="165" fontId="15" fillId="10" borderId="56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4" fontId="11" fillId="10" borderId="20" xfId="0" applyNumberFormat="1" applyFont="1" applyFill="1" applyBorder="1" applyAlignment="1">
      <alignment horizontal="center" vertical="center" wrapText="1"/>
    </xf>
    <xf numFmtId="4" fontId="11" fillId="10" borderId="21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0" fontId="4" fillId="10" borderId="59" xfId="0" applyFont="1" applyFill="1" applyBorder="1" applyAlignment="1">
      <alignment horizontal="center" vertical="center" wrapText="1"/>
    </xf>
    <xf numFmtId="165" fontId="15" fillId="10" borderId="53" xfId="0" applyNumberFormat="1" applyFont="1" applyFill="1" applyBorder="1" applyAlignment="1">
      <alignment horizontal="left" vertical="center" wrapText="1"/>
    </xf>
    <xf numFmtId="165" fontId="15" fillId="10" borderId="13" xfId="0" applyNumberFormat="1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15" fillId="10" borderId="53" xfId="0" applyNumberFormat="1" applyFont="1" applyFill="1" applyBorder="1" applyAlignment="1">
      <alignment horizontal="center" vertical="center"/>
    </xf>
    <xf numFmtId="166" fontId="15" fillId="10" borderId="13" xfId="0" applyNumberFormat="1" applyFont="1" applyFill="1" applyBorder="1" applyAlignment="1">
      <alignment horizontal="center" vertical="center"/>
    </xf>
    <xf numFmtId="3" fontId="15" fillId="10" borderId="53" xfId="0" applyNumberFormat="1" applyFont="1" applyFill="1" applyBorder="1" applyAlignment="1">
      <alignment horizontal="center" vertical="center"/>
    </xf>
    <xf numFmtId="3" fontId="15" fillId="10" borderId="56" xfId="0" applyNumberFormat="1" applyFont="1" applyFill="1" applyBorder="1" applyAlignment="1">
      <alignment horizontal="center" vertical="center"/>
    </xf>
    <xf numFmtId="3" fontId="15" fillId="10" borderId="13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56" xfId="0" applyFont="1" applyFill="1" applyBorder="1" applyAlignment="1">
      <alignment horizontal="center" vertical="center" wrapText="1"/>
    </xf>
    <xf numFmtId="0" fontId="15" fillId="10" borderId="59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165" fontId="15" fillId="10" borderId="58" xfId="0" applyNumberFormat="1" applyFont="1" applyFill="1" applyBorder="1" applyAlignment="1">
      <alignment horizontal="left" vertical="center" wrapText="1"/>
    </xf>
    <xf numFmtId="165" fontId="15" fillId="10" borderId="59" xfId="0" applyNumberFormat="1" applyFont="1" applyFill="1" applyBorder="1" applyAlignment="1">
      <alignment horizontal="left" vertical="center" wrapText="1"/>
    </xf>
    <xf numFmtId="2" fontId="4" fillId="10" borderId="47" xfId="0" applyNumberFormat="1" applyFont="1" applyFill="1" applyBorder="1" applyAlignment="1">
      <alignment horizontal="center" vertical="center" wrapText="1"/>
    </xf>
    <xf numFmtId="2" fontId="4" fillId="10" borderId="15" xfId="0" applyNumberFormat="1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4" fontId="15" fillId="10" borderId="27" xfId="0" applyNumberFormat="1" applyFont="1" applyFill="1" applyBorder="1" applyAlignment="1">
      <alignment horizontal="center" vertical="center" wrapText="1"/>
    </xf>
    <xf numFmtId="4" fontId="15" fillId="10" borderId="25" xfId="0" applyNumberFormat="1" applyFont="1" applyFill="1" applyBorder="1" applyAlignment="1">
      <alignment horizontal="center" vertical="center" wrapText="1"/>
    </xf>
    <xf numFmtId="4" fontId="4" fillId="10" borderId="2" xfId="0" applyNumberFormat="1" applyFont="1" applyFill="1" applyBorder="1" applyAlignment="1">
      <alignment horizontal="center" vertical="center" wrapText="1"/>
    </xf>
    <xf numFmtId="171" fontId="18" fillId="4" borderId="2" xfId="0" applyNumberFormat="1" applyFont="1" applyFill="1" applyBorder="1" applyAlignment="1">
      <alignment horizontal="center" vertical="center" wrapText="1"/>
    </xf>
    <xf numFmtId="4" fontId="18" fillId="10" borderId="15" xfId="0" applyNumberFormat="1" applyFont="1" applyFill="1" applyBorder="1" applyAlignment="1">
      <alignment horizontal="center" vertical="center" wrapText="1"/>
    </xf>
    <xf numFmtId="4" fontId="18" fillId="10" borderId="2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4" fontId="18" fillId="10" borderId="27" xfId="0" applyNumberFormat="1" applyFont="1" applyFill="1" applyBorder="1" applyAlignment="1">
      <alignment horizontal="center" vertical="center" wrapText="1"/>
    </xf>
    <xf numFmtId="4" fontId="18" fillId="10" borderId="28" xfId="0" applyNumberFormat="1" applyFont="1" applyFill="1" applyBorder="1" applyAlignment="1">
      <alignment horizontal="center" vertical="center" wrapText="1"/>
    </xf>
    <xf numFmtId="4" fontId="18" fillId="10" borderId="25" xfId="0" applyNumberFormat="1" applyFont="1" applyFill="1" applyBorder="1" applyAlignment="1">
      <alignment horizontal="center" vertical="center" wrapText="1"/>
    </xf>
    <xf numFmtId="4" fontId="15" fillId="10" borderId="18" xfId="0" applyNumberFormat="1" applyFont="1" applyFill="1" applyBorder="1" applyAlignment="1">
      <alignment horizontal="center" vertical="center" wrapText="1"/>
    </xf>
    <xf numFmtId="4" fontId="15" fillId="10" borderId="23" xfId="0" applyNumberFormat="1" applyFont="1" applyFill="1" applyBorder="1" applyAlignment="1">
      <alignment horizontal="center" vertical="center" wrapText="1"/>
    </xf>
    <xf numFmtId="3" fontId="15" fillId="10" borderId="53" xfId="0" applyNumberFormat="1" applyFont="1" applyFill="1" applyBorder="1" applyAlignment="1">
      <alignment horizontal="center" vertical="center" wrapText="1"/>
    </xf>
    <xf numFmtId="3" fontId="15" fillId="10" borderId="58" xfId="0" applyNumberFormat="1" applyFont="1" applyFill="1" applyBorder="1" applyAlignment="1">
      <alignment horizontal="center" vertical="center" wrapText="1"/>
    </xf>
    <xf numFmtId="3" fontId="15" fillId="10" borderId="59" xfId="0" applyNumberFormat="1" applyFont="1" applyFill="1" applyBorder="1" applyAlignment="1">
      <alignment horizontal="center" vertical="center" wrapText="1"/>
    </xf>
    <xf numFmtId="2" fontId="4" fillId="10" borderId="18" xfId="0" applyNumberFormat="1" applyFont="1" applyFill="1" applyBorder="1" applyAlignment="1">
      <alignment horizontal="center" vertical="center" wrapText="1"/>
    </xf>
    <xf numFmtId="165" fontId="15" fillId="10" borderId="15" xfId="0" applyNumberFormat="1" applyFont="1" applyFill="1" applyBorder="1" applyAlignment="1">
      <alignment horizontal="left" vertical="center" wrapText="1"/>
    </xf>
    <xf numFmtId="164" fontId="15" fillId="10" borderId="19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6" fontId="15" fillId="10" borderId="20" xfId="0" applyNumberFormat="1" applyFont="1" applyFill="1" applyBorder="1" applyAlignment="1">
      <alignment horizontal="center" vertical="center" wrapText="1"/>
    </xf>
    <xf numFmtId="166" fontId="15" fillId="10" borderId="21" xfId="0" applyNumberFormat="1" applyFont="1" applyFill="1" applyBorder="1" applyAlignment="1">
      <alignment horizontal="center" vertical="center" wrapText="1"/>
    </xf>
    <xf numFmtId="2" fontId="9" fillId="10" borderId="32" xfId="0" applyNumberFormat="1" applyFont="1" applyFill="1" applyBorder="1" applyAlignment="1">
      <alignment horizontal="center" vertical="center" wrapText="1"/>
    </xf>
    <xf numFmtId="2" fontId="9" fillId="10" borderId="37" xfId="0" applyNumberFormat="1" applyFont="1" applyFill="1" applyBorder="1" applyAlignment="1">
      <alignment horizontal="center" vertical="center" wrapText="1"/>
    </xf>
    <xf numFmtId="2" fontId="9" fillId="10" borderId="33" xfId="0" applyNumberFormat="1" applyFont="1" applyFill="1" applyBorder="1" applyAlignment="1">
      <alignment horizontal="center" vertical="center" wrapText="1"/>
    </xf>
    <xf numFmtId="166" fontId="15" fillId="10" borderId="19" xfId="0" applyNumberFormat="1" applyFont="1" applyFill="1" applyBorder="1" applyAlignment="1">
      <alignment horizontal="center" vertical="center"/>
    </xf>
    <xf numFmtId="166" fontId="15" fillId="10" borderId="2" xfId="0" applyNumberFormat="1" applyFont="1" applyFill="1" applyBorder="1" applyAlignment="1">
      <alignment horizontal="center" vertical="center"/>
    </xf>
    <xf numFmtId="166" fontId="15" fillId="10" borderId="2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15" fillId="10" borderId="24" xfId="0" applyNumberFormat="1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165" fontId="15" fillId="10" borderId="66" xfId="0" applyNumberFormat="1" applyFont="1" applyFill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6" fontId="15" fillId="10" borderId="18" xfId="0" applyNumberFormat="1" applyFont="1" applyFill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3" fontId="15" fillId="10" borderId="23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3" fontId="15" fillId="10" borderId="15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166" fontId="18" fillId="10" borderId="53" xfId="0" applyNumberFormat="1" applyFont="1" applyFill="1" applyBorder="1" applyAlignment="1">
      <alignment horizontal="center" vertical="center"/>
    </xf>
    <xf numFmtId="166" fontId="18" fillId="10" borderId="59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66" fontId="18" fillId="10" borderId="64" xfId="0" applyNumberFormat="1" applyFont="1" applyFill="1" applyBorder="1" applyAlignment="1">
      <alignment horizontal="center" vertical="center"/>
    </xf>
    <xf numFmtId="166" fontId="18" fillId="10" borderId="23" xfId="0" applyNumberFormat="1" applyFont="1" applyFill="1" applyBorder="1" applyAlignment="1">
      <alignment horizontal="center" vertical="center"/>
    </xf>
    <xf numFmtId="165" fontId="15" fillId="10" borderId="64" xfId="0" applyNumberFormat="1" applyFont="1" applyFill="1" applyBorder="1" applyAlignment="1">
      <alignment horizontal="left" vertical="center" wrapText="1"/>
    </xf>
    <xf numFmtId="166" fontId="15" fillId="10" borderId="15" xfId="0" applyNumberFormat="1" applyFont="1" applyFill="1" applyBorder="1" applyAlignment="1">
      <alignment horizontal="center" vertical="center"/>
    </xf>
    <xf numFmtId="166" fontId="15" fillId="10" borderId="47" xfId="0" applyNumberFormat="1" applyFont="1" applyFill="1" applyBorder="1" applyAlignment="1">
      <alignment horizontal="center" vertical="center"/>
    </xf>
    <xf numFmtId="166" fontId="11" fillId="10" borderId="47" xfId="0" applyNumberFormat="1" applyFont="1" applyFill="1" applyBorder="1" applyAlignment="1">
      <alignment horizontal="center" vertical="center" wrapText="1"/>
    </xf>
    <xf numFmtId="166" fontId="11" fillId="10" borderId="15" xfId="0" applyNumberFormat="1" applyFont="1" applyFill="1" applyBorder="1" applyAlignment="1">
      <alignment horizontal="center" vertical="center" wrapText="1"/>
    </xf>
    <xf numFmtId="166" fontId="11" fillId="10" borderId="23" xfId="0" applyNumberFormat="1" applyFont="1" applyFill="1" applyBorder="1" applyAlignment="1">
      <alignment horizontal="center" vertical="center" wrapText="1"/>
    </xf>
    <xf numFmtId="166" fontId="18" fillId="10" borderId="18" xfId="0" applyNumberFormat="1" applyFont="1" applyFill="1" applyBorder="1" applyAlignment="1">
      <alignment horizontal="center" vertical="center"/>
    </xf>
    <xf numFmtId="3" fontId="18" fillId="10" borderId="13" xfId="0" applyNumberFormat="1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18" fillId="10" borderId="12" xfId="0" applyNumberFormat="1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165" fontId="15" fillId="10" borderId="47" xfId="0" applyNumberFormat="1" applyFont="1" applyFill="1" applyBorder="1" applyAlignment="1">
      <alignment horizontal="left" vertical="center" wrapText="1"/>
    </xf>
    <xf numFmtId="2" fontId="15" fillId="10" borderId="47" xfId="0" applyNumberFormat="1" applyFont="1" applyFill="1" applyBorder="1" applyAlignment="1">
      <alignment horizontal="center" vertical="center" wrapText="1"/>
    </xf>
    <xf numFmtId="2" fontId="15" fillId="10" borderId="15" xfId="0" applyNumberFormat="1" applyFont="1" applyFill="1" applyBorder="1" applyAlignment="1">
      <alignment horizontal="center" vertical="center" wrapText="1"/>
    </xf>
    <xf numFmtId="2" fontId="15" fillId="10" borderId="23" xfId="0" applyNumberFormat="1" applyFont="1" applyFill="1" applyBorder="1" applyAlignment="1">
      <alignment horizontal="center" vertical="center" wrapText="1"/>
    </xf>
    <xf numFmtId="0" fontId="19" fillId="10" borderId="53" xfId="0" applyFont="1" applyFill="1" applyBorder="1" applyAlignment="1">
      <alignment horizontal="center" vertical="center"/>
    </xf>
    <xf numFmtId="0" fontId="19" fillId="10" borderId="58" xfId="0" applyFont="1" applyFill="1" applyBorder="1" applyAlignment="1">
      <alignment horizontal="center" vertical="center"/>
    </xf>
    <xf numFmtId="0" fontId="19" fillId="10" borderId="59" xfId="0" applyFont="1" applyFill="1" applyBorder="1" applyAlignment="1">
      <alignment horizontal="center" vertical="center"/>
    </xf>
    <xf numFmtId="166" fontId="6" fillId="10" borderId="18" xfId="0" applyNumberFormat="1" applyFont="1" applyFill="1" applyBorder="1" applyAlignment="1">
      <alignment horizontal="center" vertical="center" wrapText="1"/>
    </xf>
    <xf numFmtId="166" fontId="6" fillId="10" borderId="23" xfId="0" applyNumberFormat="1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2" fontId="19" fillId="4" borderId="19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4" borderId="24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3" fontId="18" fillId="10" borderId="53" xfId="0" applyNumberFormat="1" applyFont="1" applyFill="1" applyBorder="1" applyAlignment="1">
      <alignment horizontal="center" vertical="center"/>
    </xf>
    <xf numFmtId="3" fontId="18" fillId="10" borderId="59" xfId="0" applyNumberFormat="1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3" fontId="18" fillId="10" borderId="18" xfId="2" applyNumberFormat="1" applyFont="1" applyFill="1" applyBorder="1" applyAlignment="1">
      <alignment horizontal="center" vertical="center" wrapText="1"/>
    </xf>
    <xf numFmtId="3" fontId="18" fillId="10" borderId="23" xfId="2" applyNumberFormat="1" applyFont="1" applyFill="1" applyBorder="1" applyAlignment="1">
      <alignment horizontal="center" vertical="center" wrapText="1"/>
    </xf>
    <xf numFmtId="3" fontId="18" fillId="10" borderId="73" xfId="2" applyNumberFormat="1" applyFont="1" applyFill="1" applyBorder="1" applyAlignment="1">
      <alignment horizontal="center" vertical="center" wrapText="1"/>
    </xf>
    <xf numFmtId="3" fontId="18" fillId="10" borderId="63" xfId="2" applyNumberFormat="1" applyFont="1" applyFill="1" applyBorder="1" applyAlignment="1">
      <alignment horizontal="center" vertical="center" wrapText="1"/>
    </xf>
    <xf numFmtId="3" fontId="18" fillId="10" borderId="74" xfId="2" applyNumberFormat="1" applyFont="1" applyFill="1" applyBorder="1" applyAlignment="1">
      <alignment horizontal="center" vertical="center" wrapText="1"/>
    </xf>
    <xf numFmtId="166" fontId="6" fillId="10" borderId="73" xfId="0" applyNumberFormat="1" applyFont="1" applyFill="1" applyBorder="1" applyAlignment="1">
      <alignment horizontal="center" vertical="center" wrapText="1"/>
    </xf>
    <xf numFmtId="166" fontId="6" fillId="10" borderId="63" xfId="0" applyNumberFormat="1" applyFont="1" applyFill="1" applyBorder="1" applyAlignment="1">
      <alignment horizontal="center" vertical="center" wrapText="1"/>
    </xf>
    <xf numFmtId="166" fontId="6" fillId="10" borderId="74" xfId="0" applyNumberFormat="1" applyFont="1" applyFill="1" applyBorder="1" applyAlignment="1">
      <alignment horizontal="center" vertical="center" wrapText="1"/>
    </xf>
    <xf numFmtId="0" fontId="15" fillId="10" borderId="47" xfId="0" applyFont="1" applyFill="1" applyBorder="1" applyAlignment="1">
      <alignment horizontal="center" vertical="center" wrapText="1"/>
    </xf>
    <xf numFmtId="165" fontId="15" fillId="10" borderId="53" xfId="0" applyNumberFormat="1" applyFont="1" applyFill="1" applyBorder="1" applyAlignment="1">
      <alignment horizontal="center" vertical="center" wrapText="1"/>
    </xf>
    <xf numFmtId="165" fontId="15" fillId="10" borderId="59" xfId="0" applyNumberFormat="1" applyFont="1" applyFill="1" applyBorder="1" applyAlignment="1">
      <alignment horizontal="center" vertical="center" wrapText="1"/>
    </xf>
    <xf numFmtId="165" fontId="15" fillId="10" borderId="13" xfId="0" applyNumberFormat="1" applyFont="1" applyFill="1" applyBorder="1" applyAlignment="1">
      <alignment horizontal="center" vertical="center" wrapText="1"/>
    </xf>
    <xf numFmtId="2" fontId="6" fillId="10" borderId="18" xfId="0" applyNumberFormat="1" applyFont="1" applyFill="1" applyBorder="1" applyAlignment="1">
      <alignment horizontal="center" vertical="center" wrapText="1"/>
    </xf>
    <xf numFmtId="2" fontId="6" fillId="10" borderId="23" xfId="0" applyNumberFormat="1" applyFont="1" applyFill="1" applyBorder="1" applyAlignment="1">
      <alignment horizontal="center" vertical="center" wrapText="1"/>
    </xf>
    <xf numFmtId="4" fontId="15" fillId="10" borderId="28" xfId="0" applyNumberFormat="1" applyFont="1" applyFill="1" applyBorder="1" applyAlignment="1">
      <alignment horizontal="center" vertical="center" wrapText="1"/>
    </xf>
    <xf numFmtId="2" fontId="9" fillId="10" borderId="19" xfId="0" applyNumberFormat="1" applyFont="1" applyFill="1" applyBorder="1" applyAlignment="1">
      <alignment horizontal="center" vertical="center" wrapText="1"/>
    </xf>
    <xf numFmtId="2" fontId="9" fillId="10" borderId="2" xfId="0" applyNumberFormat="1" applyFont="1" applyFill="1" applyBorder="1" applyAlignment="1">
      <alignment horizontal="center" vertical="center" wrapText="1"/>
    </xf>
    <xf numFmtId="2" fontId="9" fillId="10" borderId="24" xfId="0" applyNumberFormat="1" applyFont="1" applyFill="1" applyBorder="1" applyAlignment="1">
      <alignment horizontal="center" vertical="center" wrapText="1"/>
    </xf>
    <xf numFmtId="4" fontId="18" fillId="10" borderId="18" xfId="0" applyNumberFormat="1" applyFont="1" applyFill="1" applyBorder="1" applyAlignment="1">
      <alignment horizontal="center" vertical="center" wrapText="1"/>
    </xf>
    <xf numFmtId="2" fontId="18" fillId="10" borderId="47" xfId="0" applyNumberFormat="1" applyFont="1" applyFill="1" applyBorder="1" applyAlignment="1">
      <alignment horizontal="center" vertical="center" wrapText="1"/>
    </xf>
    <xf numFmtId="2" fontId="18" fillId="10" borderId="15" xfId="0" applyNumberFormat="1" applyFont="1" applyFill="1" applyBorder="1" applyAlignment="1">
      <alignment horizontal="center" vertical="center" wrapText="1"/>
    </xf>
    <xf numFmtId="2" fontId="18" fillId="10" borderId="42" xfId="0" applyNumberFormat="1" applyFont="1" applyFill="1" applyBorder="1" applyAlignment="1">
      <alignment horizontal="center" vertical="center" wrapText="1"/>
    </xf>
    <xf numFmtId="2" fontId="18" fillId="10" borderId="9" xfId="0" applyNumberFormat="1" applyFont="1" applyFill="1" applyBorder="1" applyAlignment="1">
      <alignment horizontal="center" vertical="center" wrapText="1"/>
    </xf>
    <xf numFmtId="0" fontId="15" fillId="10" borderId="34" xfId="0" applyFont="1" applyFill="1" applyBorder="1" applyAlignment="1">
      <alignment horizontal="left" vertical="center" wrapText="1"/>
    </xf>
    <xf numFmtId="0" fontId="15" fillId="10" borderId="13" xfId="0" applyFont="1" applyFill="1" applyBorder="1" applyAlignment="1">
      <alignment horizontal="left" vertical="center" wrapText="1"/>
    </xf>
    <xf numFmtId="0" fontId="15" fillId="10" borderId="37" xfId="0" applyFont="1" applyFill="1" applyBorder="1" applyAlignment="1">
      <alignment horizontal="left" vertical="center" wrapText="1"/>
    </xf>
    <xf numFmtId="0" fontId="15" fillId="10" borderId="33" xfId="0" applyFont="1" applyFill="1" applyBorder="1" applyAlignment="1">
      <alignment horizontal="left" vertical="center" wrapText="1"/>
    </xf>
    <xf numFmtId="0" fontId="15" fillId="10" borderId="24" xfId="0" applyFont="1" applyFill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center" vertical="center" wrapText="1"/>
    </xf>
    <xf numFmtId="2" fontId="4" fillId="10" borderId="67" xfId="0" applyNumberFormat="1" applyFont="1" applyFill="1" applyBorder="1" applyAlignment="1">
      <alignment horizontal="center" vertical="center" wrapText="1"/>
    </xf>
    <xf numFmtId="2" fontId="4" fillId="10" borderId="68" xfId="0" applyNumberFormat="1" applyFont="1" applyFill="1" applyBorder="1" applyAlignment="1">
      <alignment horizontal="center" vertical="center" wrapText="1"/>
    </xf>
    <xf numFmtId="2" fontId="18" fillId="10" borderId="64" xfId="0" applyNumberFormat="1" applyFont="1" applyFill="1" applyBorder="1" applyAlignment="1">
      <alignment horizontal="center" vertical="center" wrapText="1"/>
    </xf>
    <xf numFmtId="2" fontId="18" fillId="10" borderId="66" xfId="0" applyNumberFormat="1" applyFont="1" applyFill="1" applyBorder="1" applyAlignment="1">
      <alignment horizontal="center" vertical="center" wrapText="1"/>
    </xf>
    <xf numFmtId="2" fontId="18" fillId="10" borderId="23" xfId="0" applyNumberFormat="1" applyFont="1" applyFill="1" applyBorder="1" applyAlignment="1">
      <alignment horizontal="center" vertical="center" wrapText="1"/>
    </xf>
    <xf numFmtId="4" fontId="15" fillId="10" borderId="31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2" fontId="4" fillId="10" borderId="63" xfId="0" applyNumberFormat="1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4" fontId="18" fillId="10" borderId="19" xfId="0" applyNumberFormat="1" applyFont="1" applyFill="1" applyBorder="1" applyAlignment="1">
      <alignment horizontal="center" vertical="center" wrapText="1"/>
    </xf>
    <xf numFmtId="4" fontId="18" fillId="10" borderId="2" xfId="0" applyNumberFormat="1" applyFont="1" applyFill="1" applyBorder="1" applyAlignment="1">
      <alignment horizontal="center" vertical="center" wrapText="1"/>
    </xf>
    <xf numFmtId="3" fontId="10" fillId="10" borderId="47" xfId="0" applyNumberFormat="1" applyFont="1" applyFill="1" applyBorder="1" applyAlignment="1">
      <alignment horizontal="center" vertical="center"/>
    </xf>
    <xf numFmtId="3" fontId="10" fillId="10" borderId="15" xfId="0" applyNumberFormat="1" applyFont="1" applyFill="1" applyBorder="1" applyAlignment="1">
      <alignment horizontal="center" vertical="center"/>
    </xf>
    <xf numFmtId="166" fontId="10" fillId="10" borderId="47" xfId="0" applyNumberFormat="1" applyFont="1" applyFill="1" applyBorder="1" applyAlignment="1">
      <alignment horizontal="center" vertical="center"/>
    </xf>
    <xf numFmtId="166" fontId="10" fillId="10" borderId="15" xfId="0" applyNumberFormat="1" applyFont="1" applyFill="1" applyBorder="1" applyAlignment="1">
      <alignment horizontal="center" vertical="center"/>
    </xf>
    <xf numFmtId="166" fontId="18" fillId="10" borderId="20" xfId="0" applyNumberFormat="1" applyFont="1" applyFill="1" applyBorder="1" applyAlignment="1">
      <alignment horizontal="center" vertical="center" wrapText="1"/>
    </xf>
    <xf numFmtId="166" fontId="18" fillId="10" borderId="21" xfId="0" applyNumberFormat="1" applyFont="1" applyFill="1" applyBorder="1" applyAlignment="1">
      <alignment horizontal="center" vertical="center" wrapText="1"/>
    </xf>
    <xf numFmtId="0" fontId="15" fillId="11" borderId="5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2" fontId="9" fillId="10" borderId="53" xfId="0" applyNumberFormat="1" applyFont="1" applyFill="1" applyBorder="1" applyAlignment="1">
      <alignment horizontal="center" vertical="center" wrapText="1"/>
    </xf>
    <xf numFmtId="2" fontId="9" fillId="10" borderId="56" xfId="0" applyNumberFormat="1" applyFont="1" applyFill="1" applyBorder="1" applyAlignment="1">
      <alignment horizontal="center" vertical="center" wrapText="1"/>
    </xf>
    <xf numFmtId="2" fontId="9" fillId="10" borderId="59" xfId="0" applyNumberFormat="1" applyFont="1" applyFill="1" applyBorder="1" applyAlignment="1">
      <alignment horizontal="center" vertical="center" wrapText="1"/>
    </xf>
    <xf numFmtId="3" fontId="10" fillId="10" borderId="18" xfId="0" applyNumberFormat="1" applyFont="1" applyFill="1" applyBorder="1" applyAlignment="1">
      <alignment horizontal="center" vertical="center"/>
    </xf>
    <xf numFmtId="3" fontId="10" fillId="10" borderId="2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9" fillId="10" borderId="18" xfId="0" applyNumberFormat="1" applyFont="1" applyFill="1" applyBorder="1" applyAlignment="1">
      <alignment horizontal="center" vertical="center"/>
    </xf>
    <xf numFmtId="3" fontId="9" fillId="10" borderId="23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2" fontId="11" fillId="10" borderId="27" xfId="0" applyNumberFormat="1" applyFont="1" applyFill="1" applyBorder="1" applyAlignment="1">
      <alignment horizontal="center" vertical="center" wrapText="1"/>
    </xf>
    <xf numFmtId="2" fontId="11" fillId="10" borderId="28" xfId="0" applyNumberFormat="1" applyFont="1" applyFill="1" applyBorder="1" applyAlignment="1">
      <alignment horizontal="center" vertical="center" wrapText="1"/>
    </xf>
    <xf numFmtId="166" fontId="15" fillId="10" borderId="19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center" vertical="center" wrapText="1"/>
    </xf>
    <xf numFmtId="0" fontId="4" fillId="10" borderId="6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4" fontId="15" fillId="10" borderId="29" xfId="0" applyNumberFormat="1" applyFont="1" applyFill="1" applyBorder="1" applyAlignment="1">
      <alignment horizontal="center" vertical="center" wrapText="1"/>
    </xf>
    <xf numFmtId="4" fontId="15" fillId="10" borderId="30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2" fontId="19" fillId="10" borderId="19" xfId="0" applyNumberFormat="1" applyFont="1" applyFill="1" applyBorder="1" applyAlignment="1">
      <alignment horizontal="center" vertical="center" wrapText="1"/>
    </xf>
    <xf numFmtId="2" fontId="19" fillId="10" borderId="2" xfId="0" applyNumberFormat="1" applyFont="1" applyFill="1" applyBorder="1" applyAlignment="1">
      <alignment horizontal="center" vertical="center" wrapText="1"/>
    </xf>
    <xf numFmtId="2" fontId="19" fillId="10" borderId="24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11" borderId="19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4" fontId="18" fillId="10" borderId="20" xfId="0" applyNumberFormat="1" applyFont="1" applyFill="1" applyBorder="1" applyAlignment="1">
      <alignment horizontal="center" vertical="center" wrapText="1"/>
    </xf>
    <xf numFmtId="4" fontId="18" fillId="10" borderId="21" xfId="0" applyNumberFormat="1" applyFont="1" applyFill="1" applyBorder="1" applyAlignment="1">
      <alignment horizontal="center" vertical="center" wrapText="1"/>
    </xf>
    <xf numFmtId="4" fontId="15" fillId="10" borderId="49" xfId="0" applyNumberFormat="1" applyFont="1" applyFill="1" applyBorder="1" applyAlignment="1">
      <alignment horizontal="center" vertical="center" wrapText="1"/>
    </xf>
    <xf numFmtId="2" fontId="4" fillId="10" borderId="42" xfId="0" applyNumberFormat="1" applyFont="1" applyFill="1" applyBorder="1" applyAlignment="1">
      <alignment horizontal="center" vertical="center" wrapText="1"/>
    </xf>
    <xf numFmtId="2" fontId="4" fillId="10" borderId="9" xfId="0" applyNumberFormat="1" applyFont="1" applyFill="1" applyBorder="1" applyAlignment="1">
      <alignment horizontal="center" vertical="center" wrapText="1"/>
    </xf>
    <xf numFmtId="2" fontId="4" fillId="10" borderId="43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5" fillId="11" borderId="24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166" fontId="6" fillId="10" borderId="64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6" fontId="9" fillId="10" borderId="18" xfId="0" applyNumberFormat="1" applyFont="1" applyFill="1" applyBorder="1" applyAlignment="1">
      <alignment horizontal="center" vertical="center"/>
    </xf>
    <xf numFmtId="166" fontId="9" fillId="10" borderId="23" xfId="0" applyNumberFormat="1" applyFont="1" applyFill="1" applyBorder="1" applyAlignment="1">
      <alignment horizontal="center" vertical="center"/>
    </xf>
    <xf numFmtId="0" fontId="15" fillId="11" borderId="56" xfId="0" applyFont="1" applyFill="1" applyBorder="1" applyAlignment="1">
      <alignment horizontal="center" vertical="center" wrapText="1"/>
    </xf>
    <xf numFmtId="2" fontId="9" fillId="10" borderId="17" xfId="0" applyNumberFormat="1" applyFont="1" applyFill="1" applyBorder="1" applyAlignment="1">
      <alignment horizontal="center" vertical="center" wrapText="1"/>
    </xf>
    <xf numFmtId="2" fontId="9" fillId="10" borderId="16" xfId="0" applyNumberFormat="1" applyFont="1" applyFill="1" applyBorder="1" applyAlignment="1">
      <alignment horizontal="center" vertical="center" wrapText="1"/>
    </xf>
    <xf numFmtId="2" fontId="9" fillId="10" borderId="22" xfId="0" applyNumberFormat="1" applyFont="1" applyFill="1" applyBorder="1" applyAlignment="1">
      <alignment horizontal="center" vertical="center" wrapText="1"/>
    </xf>
    <xf numFmtId="3" fontId="9" fillId="10" borderId="53" xfId="0" applyNumberFormat="1" applyFont="1" applyFill="1" applyBorder="1" applyAlignment="1">
      <alignment horizontal="center" vertical="center"/>
    </xf>
    <xf numFmtId="3" fontId="9" fillId="10" borderId="56" xfId="0" applyNumberFormat="1" applyFont="1" applyFill="1" applyBorder="1" applyAlignment="1">
      <alignment horizontal="center" vertical="center"/>
    </xf>
    <xf numFmtId="3" fontId="9" fillId="10" borderId="59" xfId="0" applyNumberFormat="1" applyFont="1" applyFill="1" applyBorder="1" applyAlignment="1">
      <alignment horizontal="center" vertical="center"/>
    </xf>
    <xf numFmtId="4" fontId="18" fillId="10" borderId="49" xfId="0" applyNumberFormat="1" applyFont="1" applyFill="1" applyBorder="1" applyAlignment="1">
      <alignment horizontal="center" vertical="center" wrapText="1"/>
    </xf>
    <xf numFmtId="166" fontId="10" fillId="10" borderId="18" xfId="0" applyNumberFormat="1" applyFont="1" applyFill="1" applyBorder="1" applyAlignment="1">
      <alignment horizontal="center" vertical="center"/>
    </xf>
    <xf numFmtId="166" fontId="10" fillId="10" borderId="23" xfId="0" applyNumberFormat="1" applyFont="1" applyFill="1" applyBorder="1" applyAlignment="1">
      <alignment horizontal="center" vertical="center"/>
    </xf>
    <xf numFmtId="3" fontId="18" fillId="10" borderId="19" xfId="2" applyNumberFormat="1" applyFont="1" applyFill="1" applyBorder="1" applyAlignment="1">
      <alignment horizontal="center" vertical="center" wrapText="1"/>
    </xf>
    <xf numFmtId="3" fontId="18" fillId="10" borderId="24" xfId="2" applyNumberFormat="1" applyFont="1" applyFill="1" applyBorder="1" applyAlignment="1">
      <alignment horizontal="center" vertical="center" wrapText="1"/>
    </xf>
    <xf numFmtId="2" fontId="4" fillId="10" borderId="32" xfId="0" applyNumberFormat="1" applyFont="1" applyFill="1" applyBorder="1" applyAlignment="1">
      <alignment horizontal="center" vertical="center" wrapText="1"/>
    </xf>
    <xf numFmtId="2" fontId="4" fillId="10" borderId="33" xfId="0" applyNumberFormat="1" applyFont="1" applyFill="1" applyBorder="1" applyAlignment="1">
      <alignment horizontal="center" vertical="center" wrapText="1"/>
    </xf>
    <xf numFmtId="165" fontId="15" fillId="10" borderId="12" xfId="0" applyNumberFormat="1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3" fontId="9" fillId="10" borderId="44" xfId="0" applyNumberFormat="1" applyFont="1" applyFill="1" applyBorder="1" applyAlignment="1">
      <alignment horizontal="center" vertical="center"/>
    </xf>
    <xf numFmtId="3" fontId="9" fillId="10" borderId="8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 wrapText="1"/>
    </xf>
    <xf numFmtId="3" fontId="10" fillId="10" borderId="2" xfId="0" applyNumberFormat="1" applyFont="1" applyFill="1" applyBorder="1" applyAlignment="1">
      <alignment horizontal="center" vertical="center"/>
    </xf>
    <xf numFmtId="166" fontId="18" fillId="10" borderId="1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3" fontId="10" fillId="10" borderId="19" xfId="0" applyNumberFormat="1" applyFont="1" applyFill="1" applyBorder="1" applyAlignment="1">
      <alignment horizontal="center" vertical="center"/>
    </xf>
    <xf numFmtId="3" fontId="10" fillId="10" borderId="24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 wrapText="1"/>
    </xf>
    <xf numFmtId="3" fontId="9" fillId="10" borderId="48" xfId="0" applyNumberFormat="1" applyFont="1" applyFill="1" applyBorder="1" applyAlignment="1">
      <alignment horizontal="center" vertical="center"/>
    </xf>
    <xf numFmtId="3" fontId="18" fillId="10" borderId="48" xfId="2" applyNumberFormat="1" applyFont="1" applyFill="1" applyBorder="1" applyAlignment="1">
      <alignment horizontal="center" vertical="center" wrapText="1"/>
    </xf>
    <xf numFmtId="3" fontId="18" fillId="10" borderId="62" xfId="2" applyNumberFormat="1" applyFont="1" applyFill="1" applyBorder="1" applyAlignment="1">
      <alignment horizontal="center" vertical="center" wrapText="1"/>
    </xf>
    <xf numFmtId="3" fontId="18" fillId="10" borderId="55" xfId="2" applyNumberFormat="1" applyFont="1" applyFill="1" applyBorder="1" applyAlignment="1">
      <alignment horizontal="center" vertical="center" wrapText="1"/>
    </xf>
    <xf numFmtId="3" fontId="18" fillId="10" borderId="57" xfId="2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2" fontId="4" fillId="10" borderId="46" xfId="0" applyNumberFormat="1" applyFont="1" applyFill="1" applyBorder="1" applyAlignment="1">
      <alignment horizontal="center" vertical="center" wrapText="1"/>
    </xf>
    <xf numFmtId="0" fontId="15" fillId="10" borderId="69" xfId="0" applyFont="1" applyFill="1" applyBorder="1" applyAlignment="1">
      <alignment horizontal="center" vertical="center" wrapText="1"/>
    </xf>
    <xf numFmtId="166" fontId="15" fillId="10" borderId="59" xfId="0" applyNumberFormat="1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4" fontId="18" fillId="10" borderId="18" xfId="0" applyNumberFormat="1" applyFont="1" applyFill="1" applyBorder="1" applyAlignment="1">
      <alignment horizontal="center" vertical="center"/>
    </xf>
    <xf numFmtId="4" fontId="18" fillId="10" borderId="15" xfId="0" applyNumberFormat="1" applyFont="1" applyFill="1" applyBorder="1" applyAlignment="1">
      <alignment horizontal="center" vertical="center"/>
    </xf>
    <xf numFmtId="4" fontId="18" fillId="10" borderId="23" xfId="0" applyNumberFormat="1" applyFont="1" applyFill="1" applyBorder="1" applyAlignment="1">
      <alignment horizontal="center" vertical="center"/>
    </xf>
    <xf numFmtId="4" fontId="15" fillId="10" borderId="53" xfId="0" applyNumberFormat="1" applyFont="1" applyFill="1" applyBorder="1" applyAlignment="1">
      <alignment horizontal="center" vertical="center"/>
    </xf>
    <xf numFmtId="4" fontId="15" fillId="10" borderId="66" xfId="0" applyNumberFormat="1" applyFont="1" applyFill="1" applyBorder="1" applyAlignment="1">
      <alignment horizontal="center" vertical="center"/>
    </xf>
    <xf numFmtId="4" fontId="15" fillId="10" borderId="59" xfId="0" applyNumberFormat="1" applyFont="1" applyFill="1" applyBorder="1" applyAlignment="1">
      <alignment horizontal="center" vertical="center"/>
    </xf>
    <xf numFmtId="166" fontId="19" fillId="10" borderId="19" xfId="0" applyNumberFormat="1" applyFont="1" applyFill="1" applyBorder="1" applyAlignment="1">
      <alignment horizontal="center" vertical="center"/>
    </xf>
    <xf numFmtId="166" fontId="19" fillId="10" borderId="2" xfId="0" applyNumberFormat="1" applyFont="1" applyFill="1" applyBorder="1" applyAlignment="1">
      <alignment horizontal="center" vertical="center"/>
    </xf>
    <xf numFmtId="166" fontId="19" fillId="10" borderId="24" xfId="0" applyNumberFormat="1" applyFont="1" applyFill="1" applyBorder="1" applyAlignment="1">
      <alignment horizontal="center" vertical="center"/>
    </xf>
    <xf numFmtId="3" fontId="9" fillId="10" borderId="19" xfId="0" applyNumberFormat="1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center" vertical="center"/>
    </xf>
    <xf numFmtId="3" fontId="9" fillId="10" borderId="24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166" fontId="9" fillId="10" borderId="13" xfId="0" applyNumberFormat="1" applyFont="1" applyFill="1" applyBorder="1" applyAlignment="1">
      <alignment horizontal="center" vertical="center"/>
    </xf>
    <xf numFmtId="166" fontId="9" fillId="10" borderId="47" xfId="0" applyNumberFormat="1" applyFont="1" applyFill="1" applyBorder="1" applyAlignment="1">
      <alignment horizontal="center" vertical="center"/>
    </xf>
    <xf numFmtId="166" fontId="9" fillId="10" borderId="15" xfId="0" applyNumberFormat="1" applyFont="1" applyFill="1" applyBorder="1" applyAlignment="1">
      <alignment horizontal="center" vertical="center"/>
    </xf>
    <xf numFmtId="0" fontId="11" fillId="10" borderId="50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3" fontId="9" fillId="10" borderId="12" xfId="0" applyNumberFormat="1" applyFont="1" applyFill="1" applyBorder="1" applyAlignment="1">
      <alignment horizontal="center" vertical="center"/>
    </xf>
    <xf numFmtId="3" fontId="9" fillId="10" borderId="13" xfId="0" applyNumberFormat="1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4" fontId="15" fillId="10" borderId="47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4" fontId="15" fillId="10" borderId="19" xfId="0" applyNumberFormat="1" applyFont="1" applyFill="1" applyBorder="1" applyAlignment="1">
      <alignment horizontal="center" vertical="center"/>
    </xf>
    <xf numFmtId="4" fontId="15" fillId="10" borderId="15" xfId="0" applyNumberFormat="1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 wrapText="1"/>
    </xf>
    <xf numFmtId="3" fontId="10" fillId="10" borderId="53" xfId="0" applyNumberFormat="1" applyFont="1" applyFill="1" applyBorder="1" applyAlignment="1">
      <alignment horizontal="center" vertical="center"/>
    </xf>
    <xf numFmtId="3" fontId="10" fillId="10" borderId="66" xfId="0" applyNumberFormat="1" applyFont="1" applyFill="1" applyBorder="1" applyAlignment="1">
      <alignment horizontal="center" vertical="center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60" xfId="0" applyFont="1" applyFill="1" applyBorder="1" applyAlignment="1">
      <alignment horizontal="center" vertical="center" wrapText="1"/>
    </xf>
    <xf numFmtId="0" fontId="11" fillId="10" borderId="61" xfId="0" applyFont="1" applyFill="1" applyBorder="1" applyAlignment="1">
      <alignment horizontal="center" vertical="center" wrapText="1"/>
    </xf>
    <xf numFmtId="166" fontId="15" fillId="10" borderId="58" xfId="0" applyNumberFormat="1" applyFont="1" applyFill="1" applyBorder="1" applyAlignment="1">
      <alignment horizontal="center" vertical="center"/>
    </xf>
    <xf numFmtId="166" fontId="15" fillId="10" borderId="69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1" fillId="10" borderId="47" xfId="0" applyFont="1" applyFill="1" applyBorder="1" applyAlignment="1">
      <alignment horizontal="left" vertical="center" wrapText="1"/>
    </xf>
    <xf numFmtId="0" fontId="11" fillId="10" borderId="23" xfId="0" applyFont="1" applyFill="1" applyBorder="1" applyAlignment="1">
      <alignment horizontal="left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11" fillId="10" borderId="53" xfId="0" applyFont="1" applyFill="1" applyBorder="1" applyAlignment="1">
      <alignment horizontal="left" vertical="center" wrapText="1"/>
    </xf>
    <xf numFmtId="0" fontId="11" fillId="10" borderId="56" xfId="0" applyFont="1" applyFill="1" applyBorder="1" applyAlignment="1">
      <alignment horizontal="left" vertical="center" wrapText="1"/>
    </xf>
    <xf numFmtId="0" fontId="11" fillId="10" borderId="58" xfId="0" applyFont="1" applyFill="1" applyBorder="1" applyAlignment="1">
      <alignment horizontal="left" vertical="center" wrapText="1"/>
    </xf>
    <xf numFmtId="0" fontId="11" fillId="10" borderId="52" xfId="0" applyFont="1" applyFill="1" applyBorder="1" applyAlignment="1">
      <alignment horizontal="left" vertical="center" wrapText="1"/>
    </xf>
    <xf numFmtId="3" fontId="15" fillId="10" borderId="53" xfId="2" applyNumberFormat="1" applyFont="1" applyFill="1" applyBorder="1" applyAlignment="1">
      <alignment horizontal="center" vertical="center" wrapText="1"/>
    </xf>
    <xf numFmtId="3" fontId="15" fillId="10" borderId="66" xfId="2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165" fontId="11" fillId="10" borderId="53" xfId="0" applyNumberFormat="1" applyFont="1" applyFill="1" applyBorder="1" applyAlignment="1">
      <alignment horizontal="left" vertical="center" wrapText="1"/>
    </xf>
    <xf numFmtId="165" fontId="11" fillId="10" borderId="56" xfId="0" applyNumberFormat="1" applyFont="1" applyFill="1" applyBorder="1" applyAlignment="1">
      <alignment horizontal="left" vertical="center" wrapText="1"/>
    </xf>
    <xf numFmtId="166" fontId="11" fillId="10" borderId="53" xfId="0" applyNumberFormat="1" applyFont="1" applyFill="1" applyBorder="1" applyAlignment="1">
      <alignment horizontal="center" vertical="center"/>
    </xf>
    <xf numFmtId="166" fontId="11" fillId="10" borderId="56" xfId="0" applyNumberFormat="1" applyFont="1" applyFill="1" applyBorder="1" applyAlignment="1">
      <alignment horizontal="center" vertical="center"/>
    </xf>
    <xf numFmtId="166" fontId="11" fillId="10" borderId="53" xfId="0" applyNumberFormat="1" applyFont="1" applyFill="1" applyBorder="1" applyAlignment="1">
      <alignment horizontal="center" vertical="center" wrapText="1"/>
    </xf>
    <xf numFmtId="166" fontId="11" fillId="10" borderId="56" xfId="0" applyNumberFormat="1" applyFont="1" applyFill="1" applyBorder="1" applyAlignment="1">
      <alignment horizontal="center" vertical="center" wrapText="1"/>
    </xf>
    <xf numFmtId="166" fontId="11" fillId="10" borderId="52" xfId="0" applyNumberFormat="1" applyFont="1" applyFill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165" fontId="15" fillId="10" borderId="73" xfId="0" applyNumberFormat="1" applyFont="1" applyFill="1" applyBorder="1" applyAlignment="1">
      <alignment horizontal="left" vertical="center" wrapText="1"/>
    </xf>
    <xf numFmtId="165" fontId="15" fillId="10" borderId="74" xfId="0" applyNumberFormat="1" applyFont="1" applyFill="1" applyBorder="1" applyAlignment="1">
      <alignment horizontal="left" vertical="center" wrapText="1"/>
    </xf>
    <xf numFmtId="0" fontId="15" fillId="10" borderId="5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>
      <alignment horizontal="left" vertical="center" wrapText="1"/>
    </xf>
    <xf numFmtId="166" fontId="11" fillId="10" borderId="58" xfId="0" applyNumberFormat="1" applyFont="1" applyFill="1" applyBorder="1" applyAlignment="1">
      <alignment horizontal="center" vertical="center"/>
    </xf>
    <xf numFmtId="166" fontId="11" fillId="10" borderId="59" xfId="0" applyNumberFormat="1" applyFont="1" applyFill="1" applyBorder="1" applyAlignment="1">
      <alignment horizontal="center" vertical="center"/>
    </xf>
    <xf numFmtId="3" fontId="11" fillId="10" borderId="53" xfId="0" applyNumberFormat="1" applyFont="1" applyFill="1" applyBorder="1" applyAlignment="1">
      <alignment horizontal="center" vertical="center"/>
    </xf>
    <xf numFmtId="3" fontId="11" fillId="10" borderId="23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165" fontId="11" fillId="10" borderId="23" xfId="0" applyNumberFormat="1" applyFont="1" applyFill="1" applyBorder="1" applyAlignment="1">
      <alignment horizontal="left" vertical="center" wrapText="1"/>
    </xf>
    <xf numFmtId="165" fontId="11" fillId="10" borderId="12" xfId="0" applyNumberFormat="1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left" vertical="center"/>
    </xf>
    <xf numFmtId="0" fontId="20" fillId="12" borderId="14" xfId="0" applyFont="1" applyFill="1" applyBorder="1" applyAlignment="1">
      <alignment horizontal="left" vertical="center"/>
    </xf>
    <xf numFmtId="0" fontId="20" fillId="12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6" fontId="10" fillId="10" borderId="53" xfId="0" applyNumberFormat="1" applyFont="1" applyFill="1" applyBorder="1" applyAlignment="1">
      <alignment horizontal="center" vertical="center"/>
    </xf>
    <xf numFmtId="166" fontId="10" fillId="10" borderId="5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6" fillId="10" borderId="2" xfId="0" applyNumberFormat="1" applyFont="1" applyFill="1" applyBorder="1" applyAlignment="1">
      <alignment horizontal="center" vertical="center" wrapText="1"/>
    </xf>
    <xf numFmtId="166" fontId="10" fillId="10" borderId="66" xfId="0" applyNumberFormat="1" applyFont="1" applyFill="1" applyBorder="1" applyAlignment="1">
      <alignment horizontal="center" vertical="center"/>
    </xf>
    <xf numFmtId="3" fontId="10" fillId="10" borderId="56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left" vertical="center" wrapText="1"/>
    </xf>
    <xf numFmtId="4" fontId="4" fillId="7" borderId="12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4" fontId="4" fillId="7" borderId="13" xfId="0" applyNumberFormat="1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 wrapText="1"/>
    </xf>
    <xf numFmtId="3" fontId="9" fillId="10" borderId="2" xfId="2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center" wrapText="1"/>
    </xf>
    <xf numFmtId="4" fontId="11" fillId="10" borderId="12" xfId="0" applyNumberFormat="1" applyFont="1" applyFill="1" applyBorder="1" applyAlignment="1">
      <alignment horizontal="center" vertical="center" wrapText="1"/>
    </xf>
    <xf numFmtId="0" fontId="12" fillId="12" borderId="77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166" fontId="10" fillId="10" borderId="1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171" fontId="4" fillId="6" borderId="12" xfId="0" applyNumberFormat="1" applyFont="1" applyFill="1" applyBorder="1" applyAlignment="1">
      <alignment horizontal="center" vertical="center" wrapText="1"/>
    </xf>
    <xf numFmtId="171" fontId="4" fillId="6" borderId="15" xfId="0" applyNumberFormat="1" applyFont="1" applyFill="1" applyBorder="1" applyAlignment="1">
      <alignment horizontal="center" vertical="center" wrapText="1"/>
    </xf>
    <xf numFmtId="171" fontId="4" fillId="6" borderId="13" xfId="0" applyNumberFormat="1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left" vertical="center" wrapText="1"/>
    </xf>
    <xf numFmtId="4" fontId="11" fillId="10" borderId="15" xfId="0" applyNumberFormat="1" applyFont="1" applyFill="1" applyBorder="1" applyAlignment="1">
      <alignment horizontal="center" vertical="center" wrapText="1"/>
    </xf>
    <xf numFmtId="166" fontId="4" fillId="10" borderId="18" xfId="0" applyNumberFormat="1" applyFont="1" applyFill="1" applyBorder="1" applyAlignment="1">
      <alignment horizontal="center" vertical="center"/>
    </xf>
    <xf numFmtId="166" fontId="4" fillId="10" borderId="56" xfId="0" applyNumberFormat="1" applyFont="1" applyFill="1" applyBorder="1" applyAlignment="1">
      <alignment horizontal="center" vertical="center"/>
    </xf>
    <xf numFmtId="165" fontId="11" fillId="10" borderId="2" xfId="2" applyNumberFormat="1" applyFont="1" applyFill="1" applyBorder="1" applyAlignment="1">
      <alignment horizontal="center" vertical="center" wrapText="1"/>
    </xf>
    <xf numFmtId="165" fontId="11" fillId="10" borderId="12" xfId="2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4" fontId="11" fillId="16" borderId="12" xfId="0" applyNumberFormat="1" applyFont="1" applyFill="1" applyBorder="1" applyAlignment="1">
      <alignment horizontal="center" vertical="center" wrapText="1"/>
    </xf>
    <xf numFmtId="4" fontId="11" fillId="16" borderId="13" xfId="0" applyNumberFormat="1" applyFont="1" applyFill="1" applyBorder="1" applyAlignment="1">
      <alignment horizontal="center" vertical="center" wrapText="1"/>
    </xf>
    <xf numFmtId="4" fontId="15" fillId="16" borderId="35" xfId="0" applyNumberFormat="1" applyFont="1" applyFill="1" applyBorder="1" applyAlignment="1">
      <alignment horizontal="center" vertical="center" wrapText="1"/>
    </xf>
    <xf numFmtId="4" fontId="15" fillId="16" borderId="38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171" fontId="4" fillId="10" borderId="2" xfId="0" applyNumberFormat="1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4" fontId="11" fillId="10" borderId="19" xfId="0" applyNumberFormat="1" applyFont="1" applyFill="1" applyBorder="1" applyAlignment="1">
      <alignment horizontal="center" vertical="center" wrapText="1"/>
    </xf>
    <xf numFmtId="0" fontId="15" fillId="11" borderId="66" xfId="0" applyFont="1" applyFill="1" applyBorder="1" applyAlignment="1">
      <alignment horizontal="center" vertical="center" wrapText="1"/>
    </xf>
    <xf numFmtId="4" fontId="15" fillId="10" borderId="62" xfId="0" applyNumberFormat="1" applyFont="1" applyFill="1" applyBorder="1" applyAlignment="1">
      <alignment horizontal="center" vertical="center" wrapText="1"/>
    </xf>
    <xf numFmtId="4" fontId="11" fillId="10" borderId="49" xfId="0" applyNumberFormat="1" applyFont="1" applyFill="1" applyBorder="1" applyAlignment="1">
      <alignment horizontal="center" vertical="center" wrapText="1"/>
    </xf>
    <xf numFmtId="4" fontId="11" fillId="10" borderId="31" xfId="0" applyNumberFormat="1" applyFont="1" applyFill="1" applyBorder="1" applyAlignment="1">
      <alignment horizontal="center" vertical="center" wrapText="1"/>
    </xf>
    <xf numFmtId="2" fontId="6" fillId="10" borderId="15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3" fontId="10" fillId="10" borderId="12" xfId="0" applyNumberFormat="1" applyFont="1" applyFill="1" applyBorder="1" applyAlignment="1">
      <alignment horizontal="center" vertical="center"/>
    </xf>
    <xf numFmtId="2" fontId="11" fillId="10" borderId="49" xfId="0" applyNumberFormat="1" applyFont="1" applyFill="1" applyBorder="1" applyAlignment="1">
      <alignment horizontal="center" vertical="center" wrapText="1"/>
    </xf>
    <xf numFmtId="2" fontId="11" fillId="10" borderId="76" xfId="0" applyNumberFormat="1" applyFont="1" applyFill="1" applyBorder="1" applyAlignment="1">
      <alignment horizontal="center" vertical="center" wrapText="1"/>
    </xf>
    <xf numFmtId="4" fontId="15" fillId="10" borderId="58" xfId="0" applyNumberFormat="1" applyFont="1" applyFill="1" applyBorder="1" applyAlignment="1">
      <alignment horizontal="center" vertical="center" wrapText="1"/>
    </xf>
    <xf numFmtId="3" fontId="11" fillId="10" borderId="56" xfId="0" applyNumberFormat="1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 wrapText="1"/>
    </xf>
    <xf numFmtId="3" fontId="10" fillId="10" borderId="53" xfId="2" applyNumberFormat="1" applyFont="1" applyFill="1" applyBorder="1" applyAlignment="1">
      <alignment horizontal="center" vertical="center" wrapText="1"/>
    </xf>
    <xf numFmtId="3" fontId="10" fillId="10" borderId="58" xfId="2" applyNumberFormat="1" applyFont="1" applyFill="1" applyBorder="1" applyAlignment="1">
      <alignment horizontal="center" vertical="center" wrapText="1"/>
    </xf>
    <xf numFmtId="3" fontId="10" fillId="10" borderId="59" xfId="2" applyNumberFormat="1" applyFont="1" applyFill="1" applyBorder="1" applyAlignment="1">
      <alignment horizontal="center" vertical="center" wrapText="1"/>
    </xf>
    <xf numFmtId="3" fontId="11" fillId="10" borderId="58" xfId="0" applyNumberFormat="1" applyFont="1" applyFill="1" applyBorder="1" applyAlignment="1">
      <alignment horizontal="center" vertical="center"/>
    </xf>
    <xf numFmtId="3" fontId="11" fillId="10" borderId="59" xfId="0" applyNumberFormat="1" applyFont="1" applyFill="1" applyBorder="1" applyAlignment="1">
      <alignment horizontal="center" vertical="center"/>
    </xf>
    <xf numFmtId="166" fontId="11" fillId="10" borderId="5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1" fillId="10" borderId="53" xfId="0" applyNumberFormat="1" applyFont="1" applyFill="1" applyBorder="1" applyAlignment="1">
      <alignment horizontal="center" vertical="center" wrapText="1"/>
    </xf>
    <xf numFmtId="4" fontId="11" fillId="10" borderId="69" xfId="0" applyNumberFormat="1" applyFont="1" applyFill="1" applyBorder="1" applyAlignment="1">
      <alignment horizontal="center" vertical="center" wrapText="1"/>
    </xf>
    <xf numFmtId="166" fontId="11" fillId="10" borderId="19" xfId="0" applyNumberFormat="1" applyFont="1" applyFill="1" applyBorder="1" applyAlignment="1">
      <alignment horizontal="center" vertical="center" wrapText="1"/>
    </xf>
    <xf numFmtId="166" fontId="11" fillId="10" borderId="24" xfId="0" applyNumberFormat="1" applyFont="1" applyFill="1" applyBorder="1" applyAlignment="1">
      <alignment horizontal="center" vertical="center" wrapText="1"/>
    </xf>
    <xf numFmtId="4" fontId="11" fillId="10" borderId="24" xfId="0" applyNumberFormat="1" applyFont="1" applyFill="1" applyBorder="1" applyAlignment="1">
      <alignment horizontal="center" vertical="center" wrapText="1"/>
    </xf>
    <xf numFmtId="4" fontId="15" fillId="10" borderId="19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  <xf numFmtId="4" fontId="15" fillId="10" borderId="13" xfId="0" applyNumberFormat="1" applyFont="1" applyFill="1" applyBorder="1" applyAlignment="1">
      <alignment horizontal="center" vertical="center" wrapText="1"/>
    </xf>
    <xf numFmtId="4" fontId="11" fillId="10" borderId="26" xfId="0" applyNumberFormat="1" applyFont="1" applyFill="1" applyBorder="1" applyAlignment="1">
      <alignment horizontal="center" vertical="center" wrapText="1"/>
    </xf>
    <xf numFmtId="0" fontId="11" fillId="10" borderId="4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2" fontId="19" fillId="10" borderId="53" xfId="0" applyNumberFormat="1" applyFont="1" applyFill="1" applyBorder="1" applyAlignment="1">
      <alignment horizontal="center" vertical="center" wrapText="1"/>
    </xf>
    <xf numFmtId="2" fontId="19" fillId="10" borderId="59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4" fontId="15" fillId="10" borderId="39" xfId="0" applyNumberFormat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15" fillId="10" borderId="2" xfId="1" applyFont="1" applyFill="1" applyBorder="1" applyAlignment="1">
      <alignment horizontal="center" vertical="center" wrapText="1"/>
    </xf>
    <xf numFmtId="0" fontId="4" fillId="10" borderId="47" xfId="3" applyFont="1" applyFill="1" applyBorder="1" applyAlignment="1">
      <alignment horizontal="center" vertical="center" wrapText="1"/>
    </xf>
    <xf numFmtId="0" fontId="4" fillId="10" borderId="15" xfId="3" applyFont="1" applyFill="1" applyBorder="1" applyAlignment="1">
      <alignment horizontal="center" vertical="center" wrapText="1"/>
    </xf>
    <xf numFmtId="0" fontId="4" fillId="10" borderId="23" xfId="3" applyFont="1" applyFill="1" applyBorder="1" applyAlignment="1">
      <alignment horizontal="center" vertical="center" wrapText="1"/>
    </xf>
    <xf numFmtId="3" fontId="18" fillId="10" borderId="8" xfId="2" applyNumberFormat="1" applyFont="1" applyFill="1" applyBorder="1" applyAlignment="1">
      <alignment horizontal="center" vertical="center" wrapText="1"/>
    </xf>
    <xf numFmtId="3" fontId="18" fillId="10" borderId="36" xfId="2" applyNumberFormat="1" applyFont="1" applyFill="1" applyBorder="1" applyAlignment="1">
      <alignment horizontal="center" vertical="center" wrapText="1"/>
    </xf>
    <xf numFmtId="2" fontId="19" fillId="10" borderId="58" xfId="0" applyNumberFormat="1" applyFont="1" applyFill="1" applyBorder="1" applyAlignment="1">
      <alignment horizontal="center" vertical="center" wrapText="1"/>
    </xf>
    <xf numFmtId="166" fontId="6" fillId="10" borderId="47" xfId="0" applyNumberFormat="1" applyFont="1" applyFill="1" applyBorder="1" applyAlignment="1">
      <alignment horizontal="center" vertical="center" wrapText="1"/>
    </xf>
    <xf numFmtId="166" fontId="6" fillId="10" borderId="15" xfId="0" applyNumberFormat="1" applyFont="1" applyFill="1" applyBorder="1" applyAlignment="1">
      <alignment horizontal="center" vertical="center" wrapText="1"/>
    </xf>
    <xf numFmtId="2" fontId="19" fillId="10" borderId="50" xfId="0" applyNumberFormat="1" applyFont="1" applyFill="1" applyBorder="1" applyAlignment="1">
      <alignment horizontal="center" vertical="center" wrapText="1"/>
    </xf>
    <xf numFmtId="2" fontId="19" fillId="10" borderId="16" xfId="0" applyNumberFormat="1" applyFont="1" applyFill="1" applyBorder="1" applyAlignment="1">
      <alignment horizontal="center" vertical="center" wrapText="1"/>
    </xf>
    <xf numFmtId="2" fontId="19" fillId="10" borderId="2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" fontId="18" fillId="10" borderId="26" xfId="0" applyNumberFormat="1" applyFont="1" applyFill="1" applyBorder="1" applyAlignment="1">
      <alignment horizontal="center" vertical="center" wrapText="1"/>
    </xf>
    <xf numFmtId="4" fontId="18" fillId="4" borderId="15" xfId="0" applyNumberFormat="1" applyFont="1" applyFill="1" applyBorder="1" applyAlignment="1">
      <alignment horizontal="center" vertical="center" wrapText="1"/>
    </xf>
    <xf numFmtId="4" fontId="15" fillId="10" borderId="59" xfId="0" applyNumberFormat="1" applyFont="1" applyFill="1" applyBorder="1" applyAlignment="1">
      <alignment horizontal="center" vertical="center" wrapText="1"/>
    </xf>
    <xf numFmtId="166" fontId="26" fillId="10" borderId="57" xfId="0" applyNumberFormat="1" applyFont="1" applyFill="1" applyBorder="1" applyAlignment="1">
      <alignment horizontal="left" vertical="center" wrapText="1"/>
    </xf>
    <xf numFmtId="166" fontId="26" fillId="10" borderId="45" xfId="0" applyNumberFormat="1" applyFont="1" applyFill="1" applyBorder="1" applyAlignment="1">
      <alignment horizontal="left" vertical="center" wrapText="1"/>
    </xf>
    <xf numFmtId="166" fontId="26" fillId="10" borderId="68" xfId="0" applyNumberFormat="1" applyFont="1" applyFill="1" applyBorder="1" applyAlignment="1">
      <alignment horizontal="left" vertical="center" wrapText="1"/>
    </xf>
    <xf numFmtId="2" fontId="4" fillId="10" borderId="53" xfId="0" applyNumberFormat="1" applyFont="1" applyFill="1" applyBorder="1" applyAlignment="1">
      <alignment horizontal="center" vertical="center" wrapText="1"/>
    </xf>
    <xf numFmtId="2" fontId="4" fillId="10" borderId="56" xfId="0" applyNumberFormat="1" applyFont="1" applyFill="1" applyBorder="1" applyAlignment="1">
      <alignment horizontal="center" vertical="center" wrapText="1"/>
    </xf>
    <xf numFmtId="2" fontId="4" fillId="10" borderId="59" xfId="0" applyNumberFormat="1" applyFont="1" applyFill="1" applyBorder="1" applyAlignment="1">
      <alignment horizontal="center" vertical="center" wrapText="1"/>
    </xf>
    <xf numFmtId="166" fontId="6" fillId="10" borderId="19" xfId="0" applyNumberFormat="1" applyFont="1" applyFill="1" applyBorder="1" applyAlignment="1">
      <alignment horizontal="center" vertical="center" wrapText="1"/>
    </xf>
    <xf numFmtId="166" fontId="6" fillId="10" borderId="24" xfId="0" applyNumberFormat="1" applyFont="1" applyFill="1" applyBorder="1" applyAlignment="1">
      <alignment horizontal="center" vertical="center" wrapText="1"/>
    </xf>
    <xf numFmtId="166" fontId="9" fillId="10" borderId="53" xfId="0" applyNumberFormat="1" applyFont="1" applyFill="1" applyBorder="1" applyAlignment="1">
      <alignment horizontal="center" vertical="center"/>
    </xf>
    <xf numFmtId="166" fontId="9" fillId="10" borderId="56" xfId="0" applyNumberFormat="1" applyFont="1" applyFill="1" applyBorder="1" applyAlignment="1">
      <alignment horizontal="center" vertical="center"/>
    </xf>
    <xf numFmtId="166" fontId="9" fillId="10" borderId="59" xfId="0" applyNumberFormat="1" applyFont="1" applyFill="1" applyBorder="1" applyAlignment="1">
      <alignment horizontal="center" vertical="center"/>
    </xf>
    <xf numFmtId="3" fontId="18" fillId="10" borderId="15" xfId="2" applyNumberFormat="1" applyFont="1" applyFill="1" applyBorder="1" applyAlignment="1">
      <alignment horizontal="center" vertical="center" wrapText="1"/>
    </xf>
    <xf numFmtId="166" fontId="15" fillId="10" borderId="64" xfId="0" applyNumberFormat="1" applyFont="1" applyFill="1" applyBorder="1" applyAlignment="1">
      <alignment horizontal="center" vertical="center"/>
    </xf>
    <xf numFmtId="166" fontId="15" fillId="10" borderId="53" xfId="0" applyNumberFormat="1" applyFont="1" applyFill="1" applyBorder="1" applyAlignment="1">
      <alignment horizontal="center" vertical="center" wrapText="1"/>
    </xf>
    <xf numFmtId="166" fontId="15" fillId="10" borderId="58" xfId="0" applyNumberFormat="1" applyFont="1" applyFill="1" applyBorder="1" applyAlignment="1">
      <alignment horizontal="center" vertical="center" wrapText="1"/>
    </xf>
    <xf numFmtId="166" fontId="15" fillId="10" borderId="59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" fontId="15" fillId="10" borderId="72" xfId="0" applyNumberFormat="1" applyFont="1" applyFill="1" applyBorder="1" applyAlignment="1">
      <alignment horizontal="center" vertical="center" wrapText="1"/>
    </xf>
    <xf numFmtId="2" fontId="15" fillId="10" borderId="57" xfId="0" applyNumberFormat="1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4" borderId="6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2" fontId="15" fillId="10" borderId="27" xfId="0" applyNumberFormat="1" applyFont="1" applyFill="1" applyBorder="1" applyAlignment="1">
      <alignment horizontal="center" vertical="center" wrapText="1"/>
    </xf>
    <xf numFmtId="2" fontId="15" fillId="10" borderId="25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10" borderId="48" xfId="0" applyFont="1" applyFill="1" applyBorder="1" applyAlignment="1">
      <alignment horizontal="center" vertical="center" wrapText="1"/>
    </xf>
    <xf numFmtId="0" fontId="15" fillId="10" borderId="62" xfId="0" applyFont="1" applyFill="1" applyBorder="1" applyAlignment="1">
      <alignment horizontal="center" vertical="center" wrapText="1"/>
    </xf>
    <xf numFmtId="0" fontId="15" fillId="10" borderId="57" xfId="0" applyFont="1" applyFill="1" applyBorder="1" applyAlignment="1">
      <alignment horizontal="center" vertical="center" wrapText="1"/>
    </xf>
    <xf numFmtId="166" fontId="6" fillId="10" borderId="53" xfId="0" applyNumberFormat="1" applyFont="1" applyFill="1" applyBorder="1" applyAlignment="1">
      <alignment horizontal="center" vertical="center" wrapText="1"/>
    </xf>
    <xf numFmtId="166" fontId="6" fillId="10" borderId="58" xfId="0" applyNumberFormat="1" applyFont="1" applyFill="1" applyBorder="1" applyAlignment="1">
      <alignment horizontal="center" vertical="center" wrapText="1"/>
    </xf>
    <xf numFmtId="166" fontId="6" fillId="10" borderId="56" xfId="0" applyNumberFormat="1" applyFont="1" applyFill="1" applyBorder="1" applyAlignment="1">
      <alignment horizontal="center" vertical="center" wrapText="1"/>
    </xf>
    <xf numFmtId="166" fontId="6" fillId="10" borderId="59" xfId="0" applyNumberFormat="1" applyFont="1" applyFill="1" applyBorder="1" applyAlignment="1">
      <alignment horizontal="center" vertical="center" wrapText="1"/>
    </xf>
    <xf numFmtId="3" fontId="15" fillId="10" borderId="66" xfId="0" applyNumberFormat="1" applyFont="1" applyFill="1" applyBorder="1" applyAlignment="1">
      <alignment horizontal="center" vertical="center"/>
    </xf>
    <xf numFmtId="164" fontId="15" fillId="11" borderId="19" xfId="0" applyNumberFormat="1" applyFont="1" applyFill="1" applyBorder="1" applyAlignment="1">
      <alignment horizontal="center" vertical="center" wrapText="1"/>
    </xf>
    <xf numFmtId="164" fontId="15" fillId="11" borderId="2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0" fontId="15" fillId="10" borderId="37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left" vertical="center" wrapText="1"/>
    </xf>
    <xf numFmtId="3" fontId="18" fillId="10" borderId="64" xfId="2" applyNumberFormat="1" applyFont="1" applyFill="1" applyBorder="1" applyAlignment="1">
      <alignment horizontal="center" vertical="center" wrapText="1"/>
    </xf>
    <xf numFmtId="3" fontId="18" fillId="10" borderId="64" xfId="0" applyNumberFormat="1" applyFont="1" applyFill="1" applyBorder="1" applyAlignment="1">
      <alignment horizontal="center" vertical="center"/>
    </xf>
    <xf numFmtId="3" fontId="18" fillId="10" borderId="66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3" fontId="15" fillId="10" borderId="64" xfId="0" applyNumberFormat="1" applyFont="1" applyFill="1" applyBorder="1" applyAlignment="1">
      <alignment horizontal="center" vertical="center"/>
    </xf>
    <xf numFmtId="3" fontId="18" fillId="10" borderId="49" xfId="0" applyNumberFormat="1" applyFont="1" applyFill="1" applyBorder="1" applyAlignment="1">
      <alignment horizontal="center" vertical="center"/>
    </xf>
    <xf numFmtId="3" fontId="18" fillId="10" borderId="28" xfId="0" applyNumberFormat="1" applyFont="1" applyFill="1" applyBorder="1" applyAlignment="1">
      <alignment horizontal="center" vertical="center"/>
    </xf>
    <xf numFmtId="3" fontId="18" fillId="10" borderId="25" xfId="0" applyNumberFormat="1" applyFont="1" applyFill="1" applyBorder="1" applyAlignment="1">
      <alignment horizontal="center" vertical="center"/>
    </xf>
    <xf numFmtId="4" fontId="15" fillId="10" borderId="15" xfId="0" applyNumberFormat="1" applyFont="1" applyFill="1" applyBorder="1" applyAlignment="1">
      <alignment horizontal="center" vertical="center" wrapText="1"/>
    </xf>
    <xf numFmtId="1" fontId="19" fillId="4" borderId="32" xfId="0" applyNumberFormat="1" applyFont="1" applyFill="1" applyBorder="1" applyAlignment="1">
      <alignment horizontal="center" vertical="center" wrapText="1"/>
    </xf>
    <xf numFmtId="1" fontId="19" fillId="4" borderId="37" xfId="0" applyNumberFormat="1" applyFont="1" applyFill="1" applyBorder="1" applyAlignment="1">
      <alignment horizontal="center" vertical="center" wrapText="1"/>
    </xf>
    <xf numFmtId="1" fontId="19" fillId="4" borderId="33" xfId="0" applyNumberFormat="1" applyFont="1" applyFill="1" applyBorder="1" applyAlignment="1">
      <alignment horizontal="center" vertical="center" wrapText="1"/>
    </xf>
    <xf numFmtId="0" fontId="31" fillId="10" borderId="47" xfId="0" applyFont="1" applyFill="1" applyBorder="1" applyAlignment="1">
      <alignment horizontal="left" vertical="center" wrapText="1"/>
    </xf>
    <xf numFmtId="0" fontId="31" fillId="10" borderId="15" xfId="0" applyFont="1" applyFill="1" applyBorder="1" applyAlignment="1">
      <alignment horizontal="left" vertical="center" wrapText="1"/>
    </xf>
    <xf numFmtId="0" fontId="31" fillId="10" borderId="23" xfId="0" applyFont="1" applyFill="1" applyBorder="1" applyAlignment="1">
      <alignment horizontal="left" vertical="center" wrapText="1"/>
    </xf>
    <xf numFmtId="3" fontId="18" fillId="10" borderId="19" xfId="0" applyNumberFormat="1" applyFont="1" applyFill="1" applyBorder="1" applyAlignment="1">
      <alignment horizontal="center" vertical="center"/>
    </xf>
    <xf numFmtId="3" fontId="18" fillId="10" borderId="24" xfId="0" applyNumberFormat="1" applyFont="1" applyFill="1" applyBorder="1" applyAlignment="1">
      <alignment horizontal="center" vertical="center"/>
    </xf>
    <xf numFmtId="165" fontId="15" fillId="10" borderId="63" xfId="0" applyNumberFormat="1" applyFont="1" applyFill="1" applyBorder="1" applyAlignment="1">
      <alignment horizontal="left" vertical="center" wrapText="1"/>
    </xf>
    <xf numFmtId="165" fontId="15" fillId="10" borderId="52" xfId="0" applyNumberFormat="1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5" fontId="15" fillId="0" borderId="73" xfId="0" applyNumberFormat="1" applyFont="1" applyFill="1" applyBorder="1" applyAlignment="1">
      <alignment horizontal="left" vertical="center" wrapText="1"/>
    </xf>
    <xf numFmtId="165" fontId="15" fillId="0" borderId="63" xfId="0" applyNumberFormat="1" applyFont="1" applyFill="1" applyBorder="1" applyAlignment="1">
      <alignment horizontal="left" vertical="center" wrapText="1"/>
    </xf>
    <xf numFmtId="165" fontId="15" fillId="0" borderId="74" xfId="0" applyNumberFormat="1" applyFont="1" applyFill="1" applyBorder="1" applyAlignment="1">
      <alignment horizontal="left" vertical="center" wrapText="1"/>
    </xf>
    <xf numFmtId="0" fontId="4" fillId="10" borderId="73" xfId="0" applyFont="1" applyFill="1" applyBorder="1" applyAlignment="1">
      <alignment horizontal="center" vertical="center" wrapText="1"/>
    </xf>
    <xf numFmtId="0" fontId="4" fillId="10" borderId="7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18" fillId="10" borderId="19" xfId="0" applyNumberFormat="1" applyFont="1" applyFill="1" applyBorder="1" applyAlignment="1">
      <alignment horizontal="center" vertical="center"/>
    </xf>
    <xf numFmtId="166" fontId="18" fillId="10" borderId="2" xfId="0" applyNumberFormat="1" applyFont="1" applyFill="1" applyBorder="1" applyAlignment="1">
      <alignment horizontal="center" vertical="center"/>
    </xf>
    <xf numFmtId="166" fontId="18" fillId="10" borderId="24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4" fontId="4" fillId="10" borderId="2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165" fontId="19" fillId="10" borderId="19" xfId="0" applyNumberFormat="1" applyFont="1" applyFill="1" applyBorder="1" applyAlignment="1">
      <alignment horizontal="center" vertical="center"/>
    </xf>
    <xf numFmtId="165" fontId="19" fillId="10" borderId="2" xfId="0" applyNumberFormat="1" applyFont="1" applyFill="1" applyBorder="1" applyAlignment="1">
      <alignment horizontal="center" vertical="center"/>
    </xf>
    <xf numFmtId="165" fontId="19" fillId="10" borderId="2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4" fontId="15" fillId="10" borderId="58" xfId="0" applyNumberFormat="1" applyFont="1" applyFill="1" applyBorder="1" applyAlignment="1">
      <alignment horizontal="center" vertical="center"/>
    </xf>
    <xf numFmtId="166" fontId="4" fillId="10" borderId="53" xfId="0" applyNumberFormat="1" applyFont="1" applyFill="1" applyBorder="1" applyAlignment="1">
      <alignment horizontal="center" vertical="center" wrapText="1"/>
    </xf>
    <xf numFmtId="166" fontId="4" fillId="10" borderId="58" xfId="0" applyNumberFormat="1" applyFont="1" applyFill="1" applyBorder="1" applyAlignment="1">
      <alignment horizontal="center" vertical="center" wrapText="1"/>
    </xf>
    <xf numFmtId="166" fontId="4" fillId="10" borderId="59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166" fontId="15" fillId="10" borderId="18" xfId="0" applyNumberFormat="1" applyFont="1" applyFill="1" applyBorder="1" applyAlignment="1">
      <alignment horizontal="center" vertical="center" wrapText="1"/>
    </xf>
    <xf numFmtId="166" fontId="15" fillId="10" borderId="23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4" fontId="11" fillId="10" borderId="28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2" fontId="4" fillId="10" borderId="7" xfId="0" applyNumberFormat="1" applyFont="1" applyFill="1" applyBorder="1" applyAlignment="1">
      <alignment horizontal="center" vertical="center" wrapText="1"/>
    </xf>
    <xf numFmtId="4" fontId="4" fillId="10" borderId="12" xfId="0" applyNumberFormat="1" applyFont="1" applyFill="1" applyBorder="1" applyAlignment="1">
      <alignment horizontal="center" vertical="center" wrapText="1"/>
    </xf>
    <xf numFmtId="4" fontId="4" fillId="10" borderId="13" xfId="0" applyNumberFormat="1" applyFont="1" applyFill="1" applyBorder="1" applyAlignment="1">
      <alignment horizontal="center" vertical="center" wrapText="1"/>
    </xf>
    <xf numFmtId="4" fontId="15" fillId="10" borderId="66" xfId="0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4" fontId="4" fillId="10" borderId="15" xfId="0" applyNumberFormat="1" applyFont="1" applyFill="1" applyBorder="1" applyAlignment="1">
      <alignment horizontal="center" vertical="center" wrapText="1"/>
    </xf>
    <xf numFmtId="3" fontId="18" fillId="10" borderId="63" xfId="0" applyNumberFormat="1" applyFont="1" applyFill="1" applyBorder="1" applyAlignment="1">
      <alignment horizontal="center" vertical="center"/>
    </xf>
    <xf numFmtId="3" fontId="18" fillId="10" borderId="52" xfId="0" applyNumberFormat="1" applyFont="1" applyFill="1" applyBorder="1" applyAlignment="1">
      <alignment horizontal="center" vertical="center"/>
    </xf>
    <xf numFmtId="2" fontId="18" fillId="10" borderId="13" xfId="0" applyNumberFormat="1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2" fontId="18" fillId="10" borderId="12" xfId="0" applyNumberFormat="1" applyFont="1" applyFill="1" applyBorder="1" applyAlignment="1">
      <alignment horizontal="center" vertical="center" wrapText="1"/>
    </xf>
    <xf numFmtId="0" fontId="15" fillId="11" borderId="6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15" fillId="11" borderId="5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2" fontId="18" fillId="10" borderId="73" xfId="0" applyNumberFormat="1" applyFont="1" applyFill="1" applyBorder="1" applyAlignment="1">
      <alignment horizontal="center" vertical="center" wrapText="1"/>
    </xf>
    <xf numFmtId="2" fontId="18" fillId="10" borderId="63" xfId="0" applyNumberFormat="1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3" fontId="18" fillId="10" borderId="48" xfId="0" applyNumberFormat="1" applyFont="1" applyFill="1" applyBorder="1" applyAlignment="1">
      <alignment horizontal="center" vertical="center"/>
    </xf>
    <xf numFmtId="3" fontId="18" fillId="10" borderId="8" xfId="0" applyNumberFormat="1" applyFont="1" applyFill="1" applyBorder="1" applyAlignment="1">
      <alignment horizontal="center" vertical="center"/>
    </xf>
    <xf numFmtId="3" fontId="18" fillId="10" borderId="36" xfId="0" applyNumberFormat="1" applyFont="1" applyFill="1" applyBorder="1" applyAlignment="1">
      <alignment horizontal="center" vertical="center"/>
    </xf>
    <xf numFmtId="3" fontId="15" fillId="10" borderId="47" xfId="0" applyNumberFormat="1" applyFont="1" applyFill="1" applyBorder="1" applyAlignment="1">
      <alignment horizontal="center" vertical="center"/>
    </xf>
    <xf numFmtId="4" fontId="19" fillId="10" borderId="19" xfId="0" applyNumberFormat="1" applyFont="1" applyFill="1" applyBorder="1" applyAlignment="1">
      <alignment horizontal="center" vertical="center" wrapText="1"/>
    </xf>
    <xf numFmtId="4" fontId="19" fillId="10" borderId="2" xfId="0" applyNumberFormat="1" applyFont="1" applyFill="1" applyBorder="1" applyAlignment="1">
      <alignment horizontal="center" vertical="center" wrapText="1"/>
    </xf>
    <xf numFmtId="4" fontId="15" fillId="10" borderId="48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left" vertical="center" wrapText="1"/>
    </xf>
    <xf numFmtId="165" fontId="15" fillId="0" borderId="15" xfId="0" applyNumberFormat="1" applyFont="1" applyFill="1" applyBorder="1" applyAlignment="1">
      <alignment horizontal="left" vertical="center" wrapText="1"/>
    </xf>
    <xf numFmtId="165" fontId="15" fillId="0" borderId="23" xfId="0" applyNumberFormat="1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5" fontId="15" fillId="4" borderId="64" xfId="0" applyNumberFormat="1" applyFont="1" applyFill="1" applyBorder="1" applyAlignment="1">
      <alignment horizontal="left" vertical="center" wrapText="1"/>
    </xf>
    <xf numFmtId="165" fontId="15" fillId="4" borderId="23" xfId="0" applyNumberFormat="1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166" fontId="18" fillId="10" borderId="13" xfId="0" applyNumberFormat="1" applyFont="1" applyFill="1" applyBorder="1" applyAlignment="1">
      <alignment horizontal="center" vertical="center"/>
    </xf>
    <xf numFmtId="166" fontId="18" fillId="10" borderId="12" xfId="0" applyNumberFormat="1" applyFont="1" applyFill="1" applyBorder="1" applyAlignment="1">
      <alignment horizontal="center" vertical="center"/>
    </xf>
    <xf numFmtId="166" fontId="18" fillId="10" borderId="63" xfId="0" applyNumberFormat="1" applyFont="1" applyFill="1" applyBorder="1" applyAlignment="1">
      <alignment horizontal="center" vertical="center"/>
    </xf>
    <xf numFmtId="166" fontId="18" fillId="10" borderId="52" xfId="0" applyNumberFormat="1" applyFont="1" applyFill="1" applyBorder="1" applyAlignment="1">
      <alignment horizontal="center" vertical="center"/>
    </xf>
    <xf numFmtId="3" fontId="18" fillId="10" borderId="15" xfId="0" applyNumberFormat="1" applyFont="1" applyFill="1" applyBorder="1" applyAlignment="1">
      <alignment horizontal="center" vertical="center"/>
    </xf>
    <xf numFmtId="2" fontId="15" fillId="10" borderId="42" xfId="0" applyNumberFormat="1" applyFont="1" applyFill="1" applyBorder="1" applyAlignment="1">
      <alignment horizontal="center" vertical="center" wrapText="1"/>
    </xf>
    <xf numFmtId="2" fontId="15" fillId="10" borderId="9" xfId="0" applyNumberFormat="1" applyFont="1" applyFill="1" applyBorder="1" applyAlignment="1">
      <alignment horizontal="center" vertical="center" wrapText="1"/>
    </xf>
    <xf numFmtId="2" fontId="15" fillId="10" borderId="4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19" fillId="4" borderId="20" xfId="0" applyNumberFormat="1" applyFont="1" applyFill="1" applyBorder="1" applyAlignment="1">
      <alignment horizontal="center" vertical="center" wrapText="1"/>
    </xf>
    <xf numFmtId="4" fontId="19" fillId="4" borderId="2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4" fillId="10" borderId="49" xfId="0" applyNumberFormat="1" applyFont="1" applyFill="1" applyBorder="1" applyAlignment="1">
      <alignment horizontal="center" vertical="center" wrapText="1"/>
    </xf>
    <xf numFmtId="4" fontId="4" fillId="10" borderId="25" xfId="0" applyNumberFormat="1" applyFont="1" applyFill="1" applyBorder="1" applyAlignment="1">
      <alignment horizontal="center" vertical="center" wrapText="1"/>
    </xf>
    <xf numFmtId="4" fontId="15" fillId="4" borderId="48" xfId="0" applyNumberFormat="1" applyFont="1" applyFill="1" applyBorder="1" applyAlignment="1">
      <alignment horizontal="center" vertical="center" wrapText="1"/>
    </xf>
    <xf numFmtId="4" fontId="15" fillId="4" borderId="62" xfId="0" applyNumberFormat="1" applyFont="1" applyFill="1" applyBorder="1" applyAlignment="1">
      <alignment horizontal="center" vertical="center" wrapText="1"/>
    </xf>
    <xf numFmtId="0" fontId="4" fillId="10" borderId="67" xfId="0" applyFont="1" applyFill="1" applyBorder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 wrapText="1"/>
    </xf>
    <xf numFmtId="0" fontId="4" fillId="10" borderId="69" xfId="0" applyFont="1" applyFill="1" applyBorder="1" applyAlignment="1">
      <alignment horizontal="center" vertical="center" wrapText="1"/>
    </xf>
    <xf numFmtId="165" fontId="15" fillId="10" borderId="19" xfId="0" applyNumberFormat="1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 vertical="center" wrapText="1"/>
    </xf>
    <xf numFmtId="165" fontId="15" fillId="10" borderId="69" xfId="0" applyNumberFormat="1" applyFont="1" applyFill="1" applyBorder="1" applyAlignment="1">
      <alignment horizontal="center" vertical="center" wrapText="1"/>
    </xf>
    <xf numFmtId="166" fontId="4" fillId="10" borderId="66" xfId="0" applyNumberFormat="1" applyFont="1" applyFill="1" applyBorder="1" applyAlignment="1">
      <alignment horizontal="center" vertical="center" wrapText="1"/>
    </xf>
    <xf numFmtId="166" fontId="11" fillId="10" borderId="23" xfId="0" applyNumberFormat="1" applyFont="1" applyFill="1" applyBorder="1" applyAlignment="1">
      <alignment horizontal="center" vertical="center"/>
    </xf>
    <xf numFmtId="4" fontId="6" fillId="10" borderId="20" xfId="0" applyNumberFormat="1" applyFont="1" applyFill="1" applyBorder="1" applyAlignment="1">
      <alignment horizontal="center" vertical="center" wrapText="1"/>
    </xf>
    <xf numFmtId="4" fontId="6" fillId="10" borderId="21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2" fontId="11" fillId="10" borderId="25" xfId="0" applyNumberFormat="1" applyFont="1" applyFill="1" applyBorder="1" applyAlignment="1">
      <alignment horizontal="center" vertical="center" wrapText="1"/>
    </xf>
    <xf numFmtId="3" fontId="15" fillId="10" borderId="19" xfId="0" applyNumberFormat="1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14" borderId="64" xfId="0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5" fillId="15" borderId="24" xfId="0" applyFont="1" applyFill="1" applyBorder="1" applyAlignment="1">
      <alignment horizontal="center" vertical="center" wrapText="1"/>
    </xf>
    <xf numFmtId="4" fontId="15" fillId="14" borderId="49" xfId="0" applyNumberFormat="1" applyFont="1" applyFill="1" applyBorder="1" applyAlignment="1">
      <alignment horizontal="center" vertical="center" wrapText="1"/>
    </xf>
    <xf numFmtId="4" fontId="15" fillId="14" borderId="25" xfId="0" applyNumberFormat="1" applyFont="1" applyFill="1" applyBorder="1" applyAlignment="1">
      <alignment horizontal="center" vertical="center" wrapText="1"/>
    </xf>
    <xf numFmtId="3" fontId="18" fillId="10" borderId="12" xfId="2" applyNumberFormat="1" applyFont="1" applyFill="1" applyBorder="1" applyAlignment="1">
      <alignment horizontal="center" vertical="center" wrapText="1"/>
    </xf>
    <xf numFmtId="3" fontId="18" fillId="10" borderId="13" xfId="2" applyNumberFormat="1" applyFont="1" applyFill="1" applyBorder="1" applyAlignment="1">
      <alignment horizontal="center" vertical="center" wrapText="1"/>
    </xf>
    <xf numFmtId="166" fontId="6" fillId="10" borderId="12" xfId="0" applyNumberFormat="1" applyFont="1" applyFill="1" applyBorder="1" applyAlignment="1">
      <alignment horizontal="center" vertical="center" wrapText="1"/>
    </xf>
    <xf numFmtId="166" fontId="6" fillId="10" borderId="66" xfId="0" applyNumberFormat="1" applyFont="1" applyFill="1" applyBorder="1" applyAlignment="1">
      <alignment horizontal="center" vertical="center" wrapText="1"/>
    </xf>
    <xf numFmtId="0" fontId="15" fillId="10" borderId="67" xfId="0" applyFont="1" applyFill="1" applyBorder="1" applyAlignment="1">
      <alignment horizontal="center" vertical="center" wrapText="1"/>
    </xf>
    <xf numFmtId="0" fontId="15" fillId="10" borderId="68" xfId="0" applyFont="1" applyFill="1" applyBorder="1" applyAlignment="1">
      <alignment horizontal="center" vertical="center" wrapText="1"/>
    </xf>
    <xf numFmtId="1" fontId="19" fillId="10" borderId="32" xfId="0" applyNumberFormat="1" applyFont="1" applyFill="1" applyBorder="1" applyAlignment="1">
      <alignment horizontal="center" vertical="center" wrapText="1"/>
    </xf>
    <xf numFmtId="1" fontId="19" fillId="10" borderId="37" xfId="0" applyNumberFormat="1" applyFont="1" applyFill="1" applyBorder="1" applyAlignment="1">
      <alignment horizontal="center" vertical="center" wrapText="1"/>
    </xf>
    <xf numFmtId="1" fontId="19" fillId="10" borderId="33" xfId="0" applyNumberFormat="1" applyFont="1" applyFill="1" applyBorder="1" applyAlignment="1">
      <alignment horizontal="center" vertical="center" wrapText="1"/>
    </xf>
    <xf numFmtId="3" fontId="15" fillId="10" borderId="24" xfId="0" applyNumberFormat="1" applyFont="1" applyFill="1" applyBorder="1" applyAlignment="1">
      <alignment horizontal="center" vertical="center"/>
    </xf>
    <xf numFmtId="2" fontId="4" fillId="10" borderId="49" xfId="0" applyNumberFormat="1" applyFont="1" applyFill="1" applyBorder="1" applyAlignment="1">
      <alignment horizontal="center" vertical="center" wrapText="1"/>
    </xf>
    <xf numFmtId="2" fontId="4" fillId="10" borderId="2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5" fillId="10" borderId="35" xfId="0" applyNumberFormat="1" applyFont="1" applyFill="1" applyBorder="1" applyAlignment="1">
      <alignment horizontal="center" vertical="center" wrapText="1"/>
    </xf>
    <xf numFmtId="2" fontId="15" fillId="14" borderId="2" xfId="0" applyNumberFormat="1" applyFont="1" applyFill="1" applyBorder="1" applyAlignment="1">
      <alignment horizontal="center" vertical="center" wrapText="1"/>
    </xf>
    <xf numFmtId="0" fontId="15" fillId="14" borderId="67" xfId="0" applyFont="1" applyFill="1" applyBorder="1" applyAlignment="1">
      <alignment horizontal="center" vertical="center" wrapText="1"/>
    </xf>
    <xf numFmtId="0" fontId="15" fillId="14" borderId="68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2" fontId="15" fillId="14" borderId="27" xfId="0" applyNumberFormat="1" applyFont="1" applyFill="1" applyBorder="1" applyAlignment="1">
      <alignment horizontal="center" vertical="center" wrapText="1"/>
    </xf>
    <xf numFmtId="2" fontId="15" fillId="14" borderId="25" xfId="0" applyNumberFormat="1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2" fontId="15" fillId="10" borderId="28" xfId="0" applyNumberFormat="1" applyFont="1" applyFill="1" applyBorder="1" applyAlignment="1">
      <alignment horizontal="center" vertical="center" wrapText="1"/>
    </xf>
    <xf numFmtId="4" fontId="4" fillId="10" borderId="27" xfId="0" applyNumberFormat="1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4" fontId="4" fillId="14" borderId="20" xfId="0" applyNumberFormat="1" applyFont="1" applyFill="1" applyBorder="1" applyAlignment="1">
      <alignment horizontal="center" vertical="center" wrapText="1"/>
    </xf>
    <xf numFmtId="4" fontId="4" fillId="14" borderId="26" xfId="0" applyNumberFormat="1" applyFont="1" applyFill="1" applyBorder="1" applyAlignment="1">
      <alignment horizontal="center" vertical="center" wrapText="1"/>
    </xf>
    <xf numFmtId="4" fontId="4" fillId="14" borderId="27" xfId="0" applyNumberFormat="1" applyFont="1" applyFill="1" applyBorder="1" applyAlignment="1">
      <alignment horizontal="center" vertical="center" wrapText="1"/>
    </xf>
    <xf numFmtId="4" fontId="4" fillId="14" borderId="25" xfId="0" applyNumberFormat="1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63" xfId="0" applyFont="1" applyFill="1" applyBorder="1" applyAlignment="1">
      <alignment horizontal="center" vertical="center" wrapText="1"/>
    </xf>
    <xf numFmtId="0" fontId="15" fillId="15" borderId="12" xfId="0" applyFont="1" applyFill="1" applyBorder="1" applyAlignment="1">
      <alignment horizontal="center" vertical="center" wrapText="1"/>
    </xf>
    <xf numFmtId="4" fontId="4" fillId="14" borderId="28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166" fontId="15" fillId="10" borderId="73" xfId="0" applyNumberFormat="1" applyFont="1" applyFill="1" applyBorder="1" applyAlignment="1">
      <alignment horizontal="center" vertical="center"/>
    </xf>
    <xf numFmtId="166" fontId="15" fillId="10" borderId="74" xfId="0" applyNumberFormat="1" applyFont="1" applyFill="1" applyBorder="1" applyAlignment="1">
      <alignment horizontal="center" vertical="center"/>
    </xf>
    <xf numFmtId="4" fontId="11" fillId="16" borderId="2" xfId="0" applyNumberFormat="1" applyFont="1" applyFill="1" applyBorder="1" applyAlignment="1">
      <alignment horizontal="center" vertical="center" wrapText="1"/>
    </xf>
    <xf numFmtId="4" fontId="15" fillId="16" borderId="48" xfId="0" applyNumberFormat="1" applyFont="1" applyFill="1" applyBorder="1" applyAlignment="1">
      <alignment horizontal="center" vertical="center" wrapText="1"/>
    </xf>
    <xf numFmtId="4" fontId="15" fillId="16" borderId="6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3" fontId="15" fillId="10" borderId="73" xfId="0" applyNumberFormat="1" applyFont="1" applyFill="1" applyBorder="1" applyAlignment="1">
      <alignment horizontal="center" vertical="center"/>
    </xf>
    <xf numFmtId="3" fontId="15" fillId="10" borderId="74" xfId="0" applyNumberFormat="1" applyFont="1" applyFill="1" applyBorder="1" applyAlignment="1">
      <alignment horizontal="center" vertical="center"/>
    </xf>
    <xf numFmtId="4" fontId="15" fillId="10" borderId="24" xfId="0" applyNumberFormat="1" applyFont="1" applyFill="1" applyBorder="1" applyAlignment="1">
      <alignment horizontal="center" vertical="center" wrapText="1"/>
    </xf>
    <xf numFmtId="0" fontId="15" fillId="11" borderId="63" xfId="0" applyFont="1" applyFill="1" applyBorder="1" applyAlignment="1">
      <alignment horizontal="center" vertical="center" wrapText="1"/>
    </xf>
    <xf numFmtId="166" fontId="15" fillId="10" borderId="13" xfId="0" applyNumberFormat="1" applyFont="1" applyFill="1" applyBorder="1" applyAlignment="1">
      <alignment horizontal="center" vertical="center" wrapText="1"/>
    </xf>
    <xf numFmtId="166" fontId="15" fillId="10" borderId="69" xfId="0" applyNumberFormat="1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left" vertical="center" wrapText="1"/>
    </xf>
    <xf numFmtId="166" fontId="15" fillId="10" borderId="24" xfId="0" applyNumberFormat="1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center" vertical="center" wrapText="1"/>
    </xf>
    <xf numFmtId="165" fontId="15" fillId="10" borderId="19" xfId="2" applyNumberFormat="1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center" vertical="center" wrapText="1"/>
    </xf>
    <xf numFmtId="171" fontId="15" fillId="10" borderId="20" xfId="0" applyNumberFormat="1" applyFont="1" applyFill="1" applyBorder="1" applyAlignment="1">
      <alignment horizontal="center" vertical="center" wrapText="1"/>
    </xf>
    <xf numFmtId="165" fontId="15" fillId="10" borderId="24" xfId="2" applyNumberFormat="1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 wrapText="1"/>
    </xf>
    <xf numFmtId="171" fontId="15" fillId="10" borderId="26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 wrapText="1"/>
    </xf>
    <xf numFmtId="1" fontId="15" fillId="10" borderId="66" xfId="0" applyNumberFormat="1" applyFont="1" applyFill="1" applyBorder="1" applyAlignment="1">
      <alignment horizontal="center" vertical="center" wrapText="1"/>
    </xf>
    <xf numFmtId="4" fontId="4" fillId="10" borderId="31" xfId="0" applyNumberFormat="1" applyFont="1" applyFill="1" applyBorder="1" applyAlignment="1">
      <alignment horizontal="center" vertical="center" wrapText="1"/>
    </xf>
    <xf numFmtId="171" fontId="4" fillId="10" borderId="13" xfId="0" applyNumberFormat="1" applyFont="1" applyFill="1" applyBorder="1" applyAlignment="1">
      <alignment vertical="center" wrapText="1"/>
    </xf>
    <xf numFmtId="4" fontId="15" fillId="10" borderId="3" xfId="0" applyNumberFormat="1" applyFont="1" applyFill="1" applyBorder="1" applyAlignment="1">
      <alignment horizontal="center" vertical="center" wrapText="1"/>
    </xf>
    <xf numFmtId="0" fontId="15" fillId="10" borderId="64" xfId="0" applyFont="1" applyFill="1" applyBorder="1" applyAlignment="1">
      <alignment vertical="center" wrapText="1"/>
    </xf>
    <xf numFmtId="0" fontId="15" fillId="11" borderId="64" xfId="0" applyFont="1" applyFill="1" applyBorder="1" applyAlignment="1">
      <alignment vertical="center" wrapText="1"/>
    </xf>
    <xf numFmtId="2" fontId="15" fillId="10" borderId="49" xfId="0" applyNumberFormat="1" applyFont="1" applyFill="1" applyBorder="1" applyAlignment="1">
      <alignment horizontal="center" vertical="center" wrapText="1"/>
    </xf>
    <xf numFmtId="2" fontId="15" fillId="10" borderId="77" xfId="0" applyNumberFormat="1" applyFont="1" applyFill="1" applyBorder="1" applyAlignment="1">
      <alignment vertical="center" wrapText="1"/>
    </xf>
    <xf numFmtId="171" fontId="4" fillId="10" borderId="19" xfId="0" applyNumberFormat="1" applyFont="1" applyFill="1" applyBorder="1" applyAlignment="1">
      <alignment horizontal="center" vertical="center" wrapText="1"/>
    </xf>
    <xf numFmtId="3" fontId="15" fillId="10" borderId="59" xfId="0" applyNumberFormat="1" applyFont="1" applyFill="1" applyBorder="1" applyAlignment="1">
      <alignment horizontal="center" vertical="center"/>
    </xf>
    <xf numFmtId="171" fontId="4" fillId="10" borderId="24" xfId="0" applyNumberFormat="1" applyFont="1" applyFill="1" applyBorder="1" applyAlignment="1">
      <alignment horizontal="center" vertical="center" wrapText="1"/>
    </xf>
    <xf numFmtId="165" fontId="15" fillId="10" borderId="2" xfId="2" applyNumberFormat="1" applyFont="1" applyFill="1" applyBorder="1" applyAlignment="1">
      <alignment horizontal="center" vertical="center" wrapText="1"/>
    </xf>
    <xf numFmtId="165" fontId="11" fillId="10" borderId="69" xfId="0" applyNumberFormat="1" applyFont="1" applyFill="1" applyBorder="1" applyAlignment="1">
      <alignment horizontal="left" vertical="center" wrapText="1"/>
    </xf>
    <xf numFmtId="0" fontId="11" fillId="0" borderId="69" xfId="0" applyFont="1" applyBorder="1" applyAlignment="1">
      <alignment horizontal="center" vertical="center" wrapText="1"/>
    </xf>
    <xf numFmtId="165" fontId="15" fillId="10" borderId="69" xfId="2" applyNumberFormat="1" applyFont="1" applyFill="1" applyBorder="1" applyAlignment="1">
      <alignment horizontal="center" vertical="center" wrapText="1"/>
    </xf>
    <xf numFmtId="165" fontId="11" fillId="10" borderId="19" xfId="0" applyNumberFormat="1" applyFont="1" applyFill="1" applyBorder="1" applyAlignment="1">
      <alignment horizontal="left" vertical="center" wrapText="1"/>
    </xf>
    <xf numFmtId="166" fontId="11" fillId="10" borderId="18" xfId="0" applyNumberFormat="1" applyFont="1" applyFill="1" applyBorder="1" applyAlignment="1">
      <alignment horizontal="center" vertical="center"/>
    </xf>
    <xf numFmtId="3" fontId="11" fillId="10" borderId="18" xfId="0" applyNumberFormat="1" applyFont="1" applyFill="1" applyBorder="1" applyAlignment="1">
      <alignment horizontal="center" vertical="center"/>
    </xf>
    <xf numFmtId="166" fontId="11" fillId="10" borderId="66" xfId="0" applyNumberFormat="1" applyFont="1" applyFill="1" applyBorder="1" applyAlignment="1">
      <alignment horizontal="center" vertical="center"/>
    </xf>
    <xf numFmtId="3" fontId="11" fillId="10" borderId="66" xfId="0" applyNumberFormat="1" applyFont="1" applyFill="1" applyBorder="1" applyAlignment="1">
      <alignment horizontal="center" vertical="center"/>
    </xf>
    <xf numFmtId="0" fontId="11" fillId="10" borderId="64" xfId="0" applyFont="1" applyFill="1" applyBorder="1" applyAlignment="1">
      <alignment horizontal="center" vertical="center" wrapText="1"/>
    </xf>
    <xf numFmtId="4" fontId="20" fillId="11" borderId="12" xfId="0" applyNumberFormat="1" applyFont="1" applyFill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19" fillId="10" borderId="66" xfId="0" applyNumberFormat="1" applyFont="1" applyFill="1" applyBorder="1" applyAlignment="1">
      <alignment horizontal="center" vertical="center" wrapText="1"/>
    </xf>
    <xf numFmtId="4" fontId="11" fillId="10" borderId="12" xfId="0" applyNumberFormat="1" applyFont="1" applyFill="1" applyBorder="1" applyAlignment="1">
      <alignment vertical="center" wrapText="1"/>
    </xf>
    <xf numFmtId="0" fontId="11" fillId="10" borderId="19" xfId="0" applyFont="1" applyFill="1" applyBorder="1" applyAlignment="1">
      <alignment horizontal="left" vertical="center" wrapText="1"/>
    </xf>
    <xf numFmtId="166" fontId="11" fillId="10" borderId="69" xfId="0" applyNumberFormat="1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left" vertical="center" wrapText="1"/>
    </xf>
    <xf numFmtId="4" fontId="15" fillId="10" borderId="19" xfId="2" applyNumberFormat="1" applyFont="1" applyFill="1" applyBorder="1" applyAlignment="1">
      <alignment horizontal="center" vertical="center" wrapText="1"/>
    </xf>
    <xf numFmtId="2" fontId="10" fillId="10" borderId="19" xfId="0" applyNumberFormat="1" applyFont="1" applyFill="1" applyBorder="1" applyAlignment="1">
      <alignment vertical="center" wrapText="1"/>
    </xf>
    <xf numFmtId="2" fontId="10" fillId="10" borderId="2" xfId="0" applyNumberFormat="1" applyFont="1" applyFill="1" applyBorder="1" applyAlignment="1">
      <alignment vertical="center" wrapText="1"/>
    </xf>
    <xf numFmtId="4" fontId="15" fillId="10" borderId="24" xfId="2" applyNumberFormat="1" applyFont="1" applyFill="1" applyBorder="1" applyAlignment="1">
      <alignment horizontal="center" vertical="center" wrapText="1"/>
    </xf>
    <xf numFmtId="2" fontId="10" fillId="10" borderId="24" xfId="0" applyNumberFormat="1" applyFont="1" applyFill="1" applyBorder="1" applyAlignment="1">
      <alignment vertical="center" wrapText="1"/>
    </xf>
    <xf numFmtId="4" fontId="15" fillId="10" borderId="13" xfId="2" applyNumberFormat="1" applyFont="1" applyFill="1" applyBorder="1" applyAlignment="1">
      <alignment horizontal="center" vertical="center" wrapText="1"/>
    </xf>
    <xf numFmtId="4" fontId="9" fillId="10" borderId="13" xfId="0" applyNumberFormat="1" applyFont="1" applyFill="1" applyBorder="1" applyAlignment="1">
      <alignment vertical="center" wrapText="1"/>
    </xf>
    <xf numFmtId="4" fontId="18" fillId="11" borderId="13" xfId="0" applyNumberFormat="1" applyFont="1" applyFill="1" applyBorder="1" applyAlignment="1">
      <alignment horizontal="center" vertical="center"/>
    </xf>
    <xf numFmtId="4" fontId="9" fillId="10" borderId="2" xfId="0" applyNumberFormat="1" applyFont="1" applyFill="1" applyBorder="1" applyAlignment="1">
      <alignment vertical="center" wrapText="1"/>
    </xf>
    <xf numFmtId="4" fontId="18" fillId="11" borderId="2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 wrapText="1"/>
    </xf>
    <xf numFmtId="4" fontId="9" fillId="10" borderId="24" xfId="0" applyNumberFormat="1" applyFont="1" applyFill="1" applyBorder="1" applyAlignment="1">
      <alignment vertical="center" wrapText="1"/>
    </xf>
    <xf numFmtId="4" fontId="18" fillId="11" borderId="24" xfId="0" applyNumberFormat="1" applyFont="1" applyFill="1" applyBorder="1" applyAlignment="1">
      <alignment horizontal="center" vertical="center"/>
    </xf>
    <xf numFmtId="4" fontId="9" fillId="10" borderId="19" xfId="0" applyNumberFormat="1" applyFont="1" applyFill="1" applyBorder="1" applyAlignment="1">
      <alignment vertical="center" wrapText="1"/>
    </xf>
    <xf numFmtId="4" fontId="18" fillId="11" borderId="19" xfId="0" applyNumberFormat="1" applyFont="1" applyFill="1" applyBorder="1" applyAlignment="1">
      <alignment horizontal="center" vertical="center"/>
    </xf>
    <xf numFmtId="4" fontId="9" fillId="10" borderId="69" xfId="0" applyNumberFormat="1" applyFont="1" applyFill="1" applyBorder="1" applyAlignment="1">
      <alignment vertical="center" wrapText="1"/>
    </xf>
    <xf numFmtId="4" fontId="18" fillId="11" borderId="69" xfId="0" applyNumberFormat="1" applyFont="1" applyFill="1" applyBorder="1" applyAlignment="1">
      <alignment horizontal="center" vertical="center"/>
    </xf>
    <xf numFmtId="2" fontId="11" fillId="10" borderId="65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vertical="center" wrapText="1"/>
    </xf>
    <xf numFmtId="2" fontId="11" fillId="10" borderId="57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horizontal="center" vertical="center" wrapText="1"/>
    </xf>
    <xf numFmtId="175" fontId="20" fillId="10" borderId="12" xfId="0" applyNumberFormat="1" applyFont="1" applyFill="1" applyBorder="1" applyAlignment="1">
      <alignment horizontal="center" vertical="center" wrapText="1"/>
    </xf>
    <xf numFmtId="171" fontId="20" fillId="10" borderId="12" xfId="0" applyNumberFormat="1" applyFont="1" applyFill="1" applyBorder="1" applyAlignment="1">
      <alignment horizontal="center" vertical="center" wrapText="1"/>
    </xf>
    <xf numFmtId="171" fontId="22" fillId="10" borderId="12" xfId="0" applyNumberFormat="1" applyFont="1" applyFill="1" applyBorder="1" applyAlignment="1">
      <alignment horizontal="center" vertical="center" wrapText="1"/>
    </xf>
    <xf numFmtId="3" fontId="4" fillId="10" borderId="18" xfId="0" applyNumberFormat="1" applyFont="1" applyFill="1" applyBorder="1" applyAlignment="1">
      <alignment horizontal="center" vertical="center"/>
    </xf>
    <xf numFmtId="3" fontId="4" fillId="10" borderId="56" xfId="0" applyNumberFormat="1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</cellXfs>
  <cellStyles count="11">
    <cellStyle name="Excel Built-in Normal" xfId="6"/>
    <cellStyle name="Обычный" xfId="0" builtinId="0"/>
    <cellStyle name="Обычный 2" xfId="3"/>
    <cellStyle name="Обычный 3" xfId="1"/>
    <cellStyle name="Обычный 3 2" xfId="7"/>
    <cellStyle name="Обычный 4" xfId="4"/>
    <cellStyle name="Обычный 4 2" xfId="8"/>
    <cellStyle name="Обычный 5" xfId="9"/>
    <cellStyle name="Обычный_Прил 1" xfId="2"/>
    <cellStyle name="Обычный_Приложение №2 к отчету 1-ДГ_Минакова" xfId="5"/>
    <cellStyle name="Пояснение 2" xfId="10"/>
  </cellStyles>
  <dxfs count="0"/>
  <tableStyles count="0" defaultTableStyle="TableStyleMedium2" defaultPivotStyle="PivotStyleLight16"/>
  <colors>
    <mruColors>
      <color rgb="FFFFFFCC"/>
      <color rgb="FFDDDDDD"/>
      <color rgb="FFFFFFFF"/>
      <color rgb="FFCC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39"/>
  <sheetViews>
    <sheetView tabSelected="1" view="pageBreakPreview" zoomScale="60" zoomScaleNormal="5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144" sqref="B144:B148"/>
    </sheetView>
  </sheetViews>
  <sheetFormatPr defaultColWidth="11.42578125" defaultRowHeight="15.75" x14ac:dyDescent="0.25"/>
  <cols>
    <col min="1" max="1" width="4.28515625" style="1" customWidth="1"/>
    <col min="2" max="2" width="11.5703125" style="1" customWidth="1"/>
    <col min="3" max="3" width="41.28515625" style="73" customWidth="1"/>
    <col min="4" max="4" width="21.5703125" style="1" customWidth="1"/>
    <col min="5" max="5" width="13.140625" style="14" customWidth="1"/>
    <col min="6" max="6" width="15.85546875" style="14" customWidth="1"/>
    <col min="7" max="7" width="11.28515625" style="5" customWidth="1"/>
    <col min="8" max="8" width="14" style="5" customWidth="1"/>
    <col min="9" max="9" width="25.28515625" style="75" customWidth="1"/>
    <col min="10" max="10" width="13.7109375" style="5" customWidth="1"/>
    <col min="11" max="11" width="10.42578125" style="5" customWidth="1"/>
    <col min="12" max="12" width="18.42578125" style="5" customWidth="1"/>
    <col min="13" max="13" width="10.28515625" style="5" customWidth="1"/>
    <col min="14" max="14" width="9.7109375" style="5" customWidth="1"/>
    <col min="15" max="15" width="26.5703125" style="75" customWidth="1"/>
    <col min="16" max="16" width="14.85546875" style="5" customWidth="1"/>
    <col min="17" max="17" width="9.28515625" style="5" customWidth="1"/>
    <col min="18" max="18" width="17.28515625" style="563" customWidth="1"/>
    <col min="19" max="19" width="10.7109375" style="5" customWidth="1"/>
    <col min="20" max="20" width="10.85546875" style="5" customWidth="1"/>
    <col min="21" max="21" width="26.7109375" style="1" customWidth="1"/>
    <col min="22" max="22" width="13.140625" style="1" customWidth="1"/>
    <col min="23" max="23" width="9.42578125" style="1" customWidth="1"/>
    <col min="24" max="24" width="18.5703125" style="19" customWidth="1"/>
    <col min="25" max="26" width="9.7109375" style="1" customWidth="1"/>
    <col min="27" max="27" width="26.85546875" style="1" customWidth="1"/>
    <col min="28" max="28" width="13.42578125" style="1" customWidth="1"/>
    <col min="29" max="29" width="11.42578125" style="1" customWidth="1"/>
    <col min="30" max="30" width="16.7109375" style="1" customWidth="1"/>
    <col min="31" max="31" width="10.140625" style="1" customWidth="1"/>
    <col min="32" max="32" width="10" style="1" customWidth="1"/>
    <col min="33" max="33" width="26" style="1" customWidth="1"/>
    <col min="34" max="34" width="12.5703125" style="1" customWidth="1"/>
    <col min="35" max="35" width="10.7109375" style="1" customWidth="1"/>
    <col min="36" max="36" width="18.7109375" style="1" customWidth="1"/>
    <col min="37" max="37" width="10.28515625" style="1" customWidth="1"/>
    <col min="38" max="38" width="9.7109375" style="1" customWidth="1"/>
    <col min="39" max="39" width="25.7109375" style="1" customWidth="1"/>
    <col min="40" max="40" width="12.85546875" style="1" customWidth="1"/>
    <col min="41" max="41" width="11.42578125" style="1" customWidth="1"/>
    <col min="42" max="42" width="15.42578125" style="1" customWidth="1"/>
    <col min="43" max="43" width="19.42578125" style="1" customWidth="1"/>
    <col min="44" max="16384" width="11.42578125" style="1"/>
  </cols>
  <sheetData>
    <row r="1" spans="1:46" ht="28.9" customHeight="1" x14ac:dyDescent="0.25">
      <c r="A1" s="1752" t="s">
        <v>1137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2"/>
      <c r="R1" s="1752"/>
      <c r="S1" s="1752"/>
      <c r="T1" s="1752"/>
      <c r="U1" s="1752"/>
      <c r="V1" s="1752"/>
      <c r="W1" s="1752"/>
      <c r="X1" s="1752"/>
      <c r="Y1" s="1752"/>
      <c r="Z1" s="1752"/>
      <c r="AA1" s="1752"/>
      <c r="AB1" s="1752"/>
      <c r="AC1" s="1752"/>
      <c r="AD1" s="1752"/>
      <c r="AE1" s="1752"/>
      <c r="AF1" s="1752"/>
      <c r="AG1" s="1752"/>
      <c r="AH1" s="1752"/>
      <c r="AI1" s="1752"/>
      <c r="AJ1" s="1752"/>
      <c r="AK1" s="1752"/>
      <c r="AL1" s="1752"/>
      <c r="AM1" s="1752"/>
      <c r="AN1" s="1752"/>
      <c r="AO1" s="1752"/>
      <c r="AP1" s="1752"/>
      <c r="AQ1" s="295"/>
      <c r="AR1" s="6"/>
      <c r="AS1" s="6"/>
      <c r="AT1" s="6"/>
    </row>
    <row r="2" spans="1:46" ht="19.350000000000001" customHeight="1" x14ac:dyDescent="0.25">
      <c r="A2" s="1753" t="s">
        <v>0</v>
      </c>
      <c r="B2" s="1754" t="s">
        <v>13</v>
      </c>
      <c r="C2" s="1757" t="s">
        <v>36</v>
      </c>
      <c r="D2" s="1758" t="s">
        <v>14</v>
      </c>
      <c r="E2" s="1732" t="s">
        <v>37</v>
      </c>
      <c r="F2" s="1732"/>
      <c r="G2" s="1718" t="s">
        <v>15</v>
      </c>
      <c r="H2" s="1718"/>
      <c r="I2" s="1718"/>
      <c r="J2" s="1718"/>
      <c r="K2" s="1718"/>
      <c r="L2" s="1718"/>
      <c r="M2" s="1718" t="s">
        <v>24</v>
      </c>
      <c r="N2" s="1718"/>
      <c r="O2" s="1718"/>
      <c r="P2" s="1718"/>
      <c r="Q2" s="1718"/>
      <c r="R2" s="1718"/>
      <c r="S2" s="1732" t="s">
        <v>25</v>
      </c>
      <c r="T2" s="1732"/>
      <c r="U2" s="1732"/>
      <c r="V2" s="1732"/>
      <c r="W2" s="1732"/>
      <c r="X2" s="1732"/>
      <c r="Y2" s="1732" t="s">
        <v>26</v>
      </c>
      <c r="Z2" s="1732"/>
      <c r="AA2" s="1732"/>
      <c r="AB2" s="1732"/>
      <c r="AC2" s="1732"/>
      <c r="AD2" s="1732"/>
      <c r="AE2" s="1732" t="s">
        <v>27</v>
      </c>
      <c r="AF2" s="1732"/>
      <c r="AG2" s="1732"/>
      <c r="AH2" s="1732"/>
      <c r="AI2" s="1732"/>
      <c r="AJ2" s="1732"/>
      <c r="AK2" s="1732" t="s">
        <v>28</v>
      </c>
      <c r="AL2" s="1732"/>
      <c r="AM2" s="1732"/>
      <c r="AN2" s="1732"/>
      <c r="AO2" s="1732"/>
      <c r="AP2" s="1761"/>
      <c r="AQ2" s="1316" t="s">
        <v>34</v>
      </c>
    </row>
    <row r="3" spans="1:46" ht="19.350000000000001" customHeight="1" x14ac:dyDescent="0.25">
      <c r="A3" s="1753"/>
      <c r="B3" s="1755"/>
      <c r="C3" s="1757"/>
      <c r="D3" s="1759"/>
      <c r="E3" s="1732"/>
      <c r="F3" s="1732"/>
      <c r="G3" s="1718" t="s">
        <v>16</v>
      </c>
      <c r="H3" s="1718"/>
      <c r="I3" s="1719" t="s">
        <v>17</v>
      </c>
      <c r="J3" s="1718" t="s">
        <v>18</v>
      </c>
      <c r="K3" s="1718"/>
      <c r="L3" s="1010" t="s">
        <v>1</v>
      </c>
      <c r="M3" s="1718" t="s">
        <v>16</v>
      </c>
      <c r="N3" s="1718"/>
      <c r="O3" s="1719" t="s">
        <v>17</v>
      </c>
      <c r="P3" s="1718" t="s">
        <v>18</v>
      </c>
      <c r="Q3" s="1718"/>
      <c r="R3" s="529" t="s">
        <v>1</v>
      </c>
      <c r="S3" s="1732" t="s">
        <v>16</v>
      </c>
      <c r="T3" s="1732"/>
      <c r="U3" s="1732" t="s">
        <v>17</v>
      </c>
      <c r="V3" s="1732" t="s">
        <v>18</v>
      </c>
      <c r="W3" s="1732"/>
      <c r="X3" s="296" t="s">
        <v>1</v>
      </c>
      <c r="Y3" s="1732" t="s">
        <v>16</v>
      </c>
      <c r="Z3" s="1732"/>
      <c r="AA3" s="1732" t="s">
        <v>17</v>
      </c>
      <c r="AB3" s="1732" t="s">
        <v>18</v>
      </c>
      <c r="AC3" s="1732"/>
      <c r="AD3" s="1011" t="s">
        <v>1</v>
      </c>
      <c r="AE3" s="1732" t="s">
        <v>16</v>
      </c>
      <c r="AF3" s="1732"/>
      <c r="AG3" s="1732" t="s">
        <v>17</v>
      </c>
      <c r="AH3" s="1732" t="s">
        <v>18</v>
      </c>
      <c r="AI3" s="1732"/>
      <c r="AJ3" s="1011" t="s">
        <v>1</v>
      </c>
      <c r="AK3" s="1732" t="s">
        <v>16</v>
      </c>
      <c r="AL3" s="1732"/>
      <c r="AM3" s="1732" t="s">
        <v>17</v>
      </c>
      <c r="AN3" s="1732" t="s">
        <v>18</v>
      </c>
      <c r="AO3" s="1732"/>
      <c r="AP3" s="1011" t="s">
        <v>1</v>
      </c>
      <c r="AQ3" s="1316"/>
    </row>
    <row r="4" spans="1:46" ht="45" x14ac:dyDescent="0.25">
      <c r="A4" s="1753"/>
      <c r="B4" s="1756"/>
      <c r="C4" s="1757"/>
      <c r="D4" s="1760"/>
      <c r="E4" s="1009" t="s">
        <v>2</v>
      </c>
      <c r="F4" s="1009" t="s">
        <v>3</v>
      </c>
      <c r="G4" s="1010" t="s">
        <v>21</v>
      </c>
      <c r="H4" s="1010" t="s">
        <v>22</v>
      </c>
      <c r="I4" s="1719"/>
      <c r="J4" s="1010" t="s">
        <v>19</v>
      </c>
      <c r="K4" s="1010" t="s">
        <v>20</v>
      </c>
      <c r="L4" s="1010" t="s">
        <v>23</v>
      </c>
      <c r="M4" s="1010" t="s">
        <v>21</v>
      </c>
      <c r="N4" s="1010" t="s">
        <v>22</v>
      </c>
      <c r="O4" s="1719"/>
      <c r="P4" s="1010" t="s">
        <v>19</v>
      </c>
      <c r="Q4" s="1010" t="s">
        <v>20</v>
      </c>
      <c r="R4" s="530" t="s">
        <v>23</v>
      </c>
      <c r="S4" s="1009" t="s">
        <v>21</v>
      </c>
      <c r="T4" s="1009" t="s">
        <v>22</v>
      </c>
      <c r="U4" s="1732"/>
      <c r="V4" s="1009" t="s">
        <v>19</v>
      </c>
      <c r="W4" s="1009" t="s">
        <v>20</v>
      </c>
      <c r="X4" s="297" t="s">
        <v>23</v>
      </c>
      <c r="Y4" s="1009" t="s">
        <v>21</v>
      </c>
      <c r="Z4" s="1009" t="s">
        <v>22</v>
      </c>
      <c r="AA4" s="1732"/>
      <c r="AB4" s="1009" t="s">
        <v>19</v>
      </c>
      <c r="AC4" s="1009" t="s">
        <v>20</v>
      </c>
      <c r="AD4" s="1009" t="s">
        <v>23</v>
      </c>
      <c r="AE4" s="1009" t="s">
        <v>21</v>
      </c>
      <c r="AF4" s="1009" t="s">
        <v>22</v>
      </c>
      <c r="AG4" s="1732"/>
      <c r="AH4" s="1009" t="s">
        <v>19</v>
      </c>
      <c r="AI4" s="1009" t="s">
        <v>20</v>
      </c>
      <c r="AJ4" s="1009" t="s">
        <v>23</v>
      </c>
      <c r="AK4" s="1009" t="s">
        <v>21</v>
      </c>
      <c r="AL4" s="1009" t="s">
        <v>22</v>
      </c>
      <c r="AM4" s="1732"/>
      <c r="AN4" s="1009" t="s">
        <v>19</v>
      </c>
      <c r="AO4" s="1009" t="s">
        <v>20</v>
      </c>
      <c r="AP4" s="1011" t="s">
        <v>23</v>
      </c>
      <c r="AQ4" s="1316"/>
    </row>
    <row r="5" spans="1:46" s="5" customFormat="1" x14ac:dyDescent="0.25">
      <c r="A5" s="122">
        <v>1</v>
      </c>
      <c r="B5" s="122">
        <v>2</v>
      </c>
      <c r="C5" s="921">
        <v>3</v>
      </c>
      <c r="D5" s="122">
        <v>4</v>
      </c>
      <c r="E5" s="122">
        <v>5</v>
      </c>
      <c r="F5" s="298">
        <v>6</v>
      </c>
      <c r="G5" s="122">
        <v>7</v>
      </c>
      <c r="H5" s="122">
        <v>8</v>
      </c>
      <c r="I5" s="921">
        <v>9</v>
      </c>
      <c r="J5" s="122">
        <v>10</v>
      </c>
      <c r="K5" s="122">
        <v>11</v>
      </c>
      <c r="L5" s="298">
        <v>12</v>
      </c>
      <c r="M5" s="122">
        <v>13</v>
      </c>
      <c r="N5" s="122">
        <v>14</v>
      </c>
      <c r="O5" s="921">
        <v>15</v>
      </c>
      <c r="P5" s="122">
        <v>16</v>
      </c>
      <c r="Q5" s="122">
        <v>17</v>
      </c>
      <c r="R5" s="531">
        <v>18</v>
      </c>
      <c r="S5" s="122">
        <v>19</v>
      </c>
      <c r="T5" s="122">
        <v>20</v>
      </c>
      <c r="U5" s="298">
        <v>21</v>
      </c>
      <c r="V5" s="122">
        <v>22</v>
      </c>
      <c r="W5" s="122">
        <v>23</v>
      </c>
      <c r="X5" s="299">
        <v>24</v>
      </c>
      <c r="Y5" s="122">
        <v>25</v>
      </c>
      <c r="Z5" s="122">
        <v>26</v>
      </c>
      <c r="AA5" s="298">
        <v>27</v>
      </c>
      <c r="AB5" s="122">
        <v>28</v>
      </c>
      <c r="AC5" s="122">
        <v>29</v>
      </c>
      <c r="AD5" s="298">
        <v>30</v>
      </c>
      <c r="AE5" s="122">
        <v>31</v>
      </c>
      <c r="AF5" s="122">
        <v>32</v>
      </c>
      <c r="AG5" s="298">
        <v>33</v>
      </c>
      <c r="AH5" s="122">
        <v>34</v>
      </c>
      <c r="AI5" s="122">
        <v>35</v>
      </c>
      <c r="AJ5" s="298">
        <v>36</v>
      </c>
      <c r="AK5" s="122">
        <v>37</v>
      </c>
      <c r="AL5" s="122">
        <v>38</v>
      </c>
      <c r="AM5" s="298">
        <v>39</v>
      </c>
      <c r="AN5" s="122">
        <v>40</v>
      </c>
      <c r="AO5" s="122">
        <v>41</v>
      </c>
      <c r="AP5" s="298">
        <v>42</v>
      </c>
      <c r="AQ5" s="122">
        <v>43</v>
      </c>
    </row>
    <row r="6" spans="1:46" x14ac:dyDescent="0.25">
      <c r="A6" s="300" t="s">
        <v>5</v>
      </c>
      <c r="B6" s="300"/>
      <c r="C6" s="301"/>
      <c r="D6" s="302"/>
      <c r="E6" s="303"/>
      <c r="F6" s="303"/>
      <c r="G6" s="302"/>
      <c r="H6" s="302"/>
      <c r="I6" s="304"/>
      <c r="J6" s="302"/>
      <c r="K6" s="302"/>
      <c r="L6" s="302"/>
      <c r="M6" s="302"/>
      <c r="N6" s="302"/>
      <c r="O6" s="304"/>
      <c r="P6" s="302"/>
      <c r="Q6" s="302"/>
      <c r="R6" s="532"/>
      <c r="S6" s="302"/>
      <c r="T6" s="302"/>
      <c r="U6" s="302"/>
      <c r="V6" s="302"/>
      <c r="W6" s="302"/>
      <c r="X6" s="305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6"/>
      <c r="AQ6" s="306"/>
    </row>
    <row r="7" spans="1:46" s="77" customFormat="1" ht="21.2" customHeight="1" x14ac:dyDescent="0.25">
      <c r="A7" s="1714" t="s">
        <v>1136</v>
      </c>
      <c r="B7" s="1715"/>
      <c r="C7" s="1715"/>
      <c r="D7" s="1715"/>
      <c r="E7" s="1715"/>
      <c r="F7" s="1715"/>
      <c r="G7" s="1715"/>
      <c r="H7" s="1715"/>
      <c r="I7" s="1715"/>
      <c r="J7" s="1715"/>
      <c r="K7" s="1715"/>
      <c r="L7" s="1715"/>
      <c r="M7" s="1715"/>
      <c r="N7" s="1715"/>
      <c r="O7" s="1715"/>
      <c r="P7" s="1715"/>
      <c r="Q7" s="1715"/>
      <c r="R7" s="1715"/>
      <c r="S7" s="1715"/>
      <c r="T7" s="1715"/>
      <c r="U7" s="1715"/>
      <c r="V7" s="1715"/>
      <c r="W7" s="1715"/>
      <c r="X7" s="1715"/>
      <c r="Y7" s="1715"/>
      <c r="Z7" s="1715"/>
      <c r="AA7" s="1715"/>
      <c r="AB7" s="1715"/>
      <c r="AC7" s="1715"/>
      <c r="AD7" s="1715"/>
      <c r="AE7" s="1715"/>
      <c r="AF7" s="1715"/>
      <c r="AG7" s="1715"/>
      <c r="AH7" s="1715"/>
      <c r="AI7" s="1715"/>
      <c r="AJ7" s="1715"/>
      <c r="AK7" s="1715"/>
      <c r="AL7" s="1715"/>
      <c r="AM7" s="1715"/>
      <c r="AN7" s="1715"/>
      <c r="AO7" s="1715"/>
      <c r="AP7" s="1715"/>
      <c r="AQ7" s="1716"/>
    </row>
    <row r="8" spans="1:46" ht="25.7" customHeight="1" thickBot="1" x14ac:dyDescent="0.3">
      <c r="A8" s="307"/>
      <c r="B8" s="1597" t="s">
        <v>1183</v>
      </c>
      <c r="C8" s="1598"/>
      <c r="D8" s="1598"/>
      <c r="E8" s="1598"/>
      <c r="F8" s="1599"/>
      <c r="G8" s="308"/>
      <c r="H8" s="308"/>
      <c r="I8" s="309"/>
      <c r="J8" s="310"/>
      <c r="K8" s="308"/>
      <c r="L8" s="310"/>
      <c r="M8" s="308"/>
      <c r="N8" s="308"/>
      <c r="O8" s="309"/>
      <c r="P8" s="311"/>
      <c r="Q8" s="308"/>
      <c r="R8" s="533"/>
      <c r="S8" s="308"/>
      <c r="T8" s="308"/>
      <c r="U8" s="308"/>
      <c r="V8" s="310"/>
      <c r="W8" s="308"/>
      <c r="X8" s="310"/>
      <c r="Y8" s="308"/>
      <c r="Z8" s="308"/>
      <c r="AA8" s="308"/>
      <c r="AB8" s="312"/>
      <c r="AC8" s="312"/>
      <c r="AD8" s="313"/>
      <c r="AE8" s="308"/>
      <c r="AF8" s="308"/>
      <c r="AG8" s="308"/>
      <c r="AH8" s="312"/>
      <c r="AI8" s="312"/>
      <c r="AJ8" s="313"/>
      <c r="AK8" s="308"/>
      <c r="AL8" s="308"/>
      <c r="AM8" s="308"/>
      <c r="AN8" s="312"/>
      <c r="AO8" s="312"/>
      <c r="AP8" s="313"/>
      <c r="AQ8" s="308"/>
    </row>
    <row r="9" spans="1:46" ht="22.15" customHeight="1" x14ac:dyDescent="0.25">
      <c r="A9" s="1371">
        <v>1</v>
      </c>
      <c r="B9" s="1720">
        <v>1959925</v>
      </c>
      <c r="C9" s="1353" t="s">
        <v>63</v>
      </c>
      <c r="D9" s="1362" t="s">
        <v>116</v>
      </c>
      <c r="E9" s="1726">
        <f>28.601+1.995+58.335+14.895</f>
        <v>103.82599999999999</v>
      </c>
      <c r="F9" s="1509">
        <f>233866+13965+448897+188977</f>
        <v>885705</v>
      </c>
      <c r="G9" s="1395" t="s">
        <v>1121</v>
      </c>
      <c r="H9" s="1393" t="s">
        <v>1122</v>
      </c>
      <c r="I9" s="1190" t="s">
        <v>7</v>
      </c>
      <c r="J9" s="166"/>
      <c r="K9" s="162" t="s">
        <v>2</v>
      </c>
      <c r="L9" s="1409">
        <f>15789.5206+0.0004+21210.479-12000</f>
        <v>25000</v>
      </c>
      <c r="M9" s="1393" t="s">
        <v>1121</v>
      </c>
      <c r="N9" s="1393" t="s">
        <v>1122</v>
      </c>
      <c r="O9" s="1190" t="s">
        <v>7</v>
      </c>
      <c r="P9" s="167">
        <f>170.786-159.672</f>
        <v>11.114000000000004</v>
      </c>
      <c r="Q9" s="162" t="s">
        <v>2</v>
      </c>
      <c r="R9" s="1191">
        <f>182402.991-R11</f>
        <v>179686.81</v>
      </c>
      <c r="S9" s="314"/>
      <c r="T9" s="51"/>
      <c r="U9" s="51"/>
      <c r="V9" s="315"/>
      <c r="W9" s="51"/>
      <c r="X9" s="315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316"/>
      <c r="AQ9" s="8"/>
    </row>
    <row r="10" spans="1:46" ht="18" customHeight="1" x14ac:dyDescent="0.25">
      <c r="A10" s="1372"/>
      <c r="B10" s="1721"/>
      <c r="C10" s="1304"/>
      <c r="D10" s="1363"/>
      <c r="E10" s="1727"/>
      <c r="F10" s="1723"/>
      <c r="G10" s="1396"/>
      <c r="H10" s="1394"/>
      <c r="I10" s="1402"/>
      <c r="J10" s="67"/>
      <c r="K10" s="383" t="s">
        <v>3</v>
      </c>
      <c r="L10" s="1410"/>
      <c r="M10" s="1394"/>
      <c r="N10" s="1394"/>
      <c r="O10" s="1402"/>
      <c r="P10" s="338">
        <v>94461</v>
      </c>
      <c r="Q10" s="383" t="s">
        <v>3</v>
      </c>
      <c r="R10" s="1717"/>
      <c r="S10" s="317"/>
      <c r="T10" s="64"/>
      <c r="U10" s="64"/>
      <c r="V10" s="145"/>
      <c r="W10" s="318"/>
      <c r="X10" s="96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316"/>
      <c r="AQ10" s="8"/>
    </row>
    <row r="11" spans="1:46" ht="18" customHeight="1" thickBot="1" x14ac:dyDescent="0.3">
      <c r="A11" s="1373"/>
      <c r="B11" s="1722"/>
      <c r="C11" s="1194"/>
      <c r="D11" s="1364"/>
      <c r="E11" s="1361"/>
      <c r="F11" s="1724"/>
      <c r="G11" s="1396"/>
      <c r="H11" s="1394"/>
      <c r="I11" s="1053" t="s">
        <v>8</v>
      </c>
      <c r="J11" s="168"/>
      <c r="K11" s="177" t="s">
        <v>2</v>
      </c>
      <c r="L11" s="446"/>
      <c r="M11" s="1394"/>
      <c r="N11" s="1394"/>
      <c r="O11" s="1053" t="s">
        <v>8</v>
      </c>
      <c r="P11" s="911">
        <v>36.569000000000003</v>
      </c>
      <c r="Q11" s="42" t="s">
        <v>2</v>
      </c>
      <c r="R11" s="923">
        <v>2716.181</v>
      </c>
      <c r="S11" s="317"/>
      <c r="T11" s="64"/>
      <c r="U11" s="64"/>
      <c r="V11" s="145"/>
      <c r="W11" s="318"/>
      <c r="X11" s="96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20"/>
      <c r="AQ11" s="63"/>
    </row>
    <row r="12" spans="1:46" ht="19.350000000000001" customHeight="1" x14ac:dyDescent="0.25">
      <c r="A12" s="1227">
        <v>2</v>
      </c>
      <c r="B12" s="1253">
        <v>1960001</v>
      </c>
      <c r="C12" s="1256" t="s">
        <v>99</v>
      </c>
      <c r="D12" s="1336" t="s">
        <v>117</v>
      </c>
      <c r="E12" s="1779">
        <f>24.61+0.44+2.3</f>
        <v>27.35</v>
      </c>
      <c r="F12" s="1509">
        <f>209270+3364+16621</f>
        <v>229255</v>
      </c>
      <c r="G12" s="1728" t="s">
        <v>1120</v>
      </c>
      <c r="H12" s="1712" t="s">
        <v>1032</v>
      </c>
      <c r="I12" s="1207" t="s">
        <v>7</v>
      </c>
      <c r="J12" s="946"/>
      <c r="K12" s="171" t="s">
        <v>2</v>
      </c>
      <c r="L12" s="1886">
        <f>L17+L18</f>
        <v>116906.462</v>
      </c>
      <c r="M12" s="1712" t="s">
        <v>1120</v>
      </c>
      <c r="N12" s="1712" t="s">
        <v>1032</v>
      </c>
      <c r="O12" s="1421" t="s">
        <v>7</v>
      </c>
      <c r="P12" s="172">
        <f>20.245-10.15</f>
        <v>10.095000000000001</v>
      </c>
      <c r="Q12" s="171" t="s">
        <v>2</v>
      </c>
      <c r="R12" s="1191">
        <f>94507.108-R14-R15</f>
        <v>92521.279999999999</v>
      </c>
      <c r="S12" s="317"/>
      <c r="T12" s="64"/>
      <c r="U12" s="64"/>
      <c r="V12" s="85"/>
      <c r="W12" s="42"/>
      <c r="X12" s="96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20"/>
      <c r="AQ12" s="63"/>
    </row>
    <row r="13" spans="1:46" ht="18.600000000000001" customHeight="1" x14ac:dyDescent="0.25">
      <c r="A13" s="1223"/>
      <c r="B13" s="1500"/>
      <c r="C13" s="1277"/>
      <c r="D13" s="1513"/>
      <c r="E13" s="1780"/>
      <c r="F13" s="1510"/>
      <c r="G13" s="1729"/>
      <c r="H13" s="1725"/>
      <c r="I13" s="1157"/>
      <c r="J13" s="947"/>
      <c r="K13" s="42" t="s">
        <v>3</v>
      </c>
      <c r="L13" s="1887"/>
      <c r="M13" s="1725"/>
      <c r="N13" s="1725"/>
      <c r="O13" s="1881"/>
      <c r="P13" s="911">
        <v>63840</v>
      </c>
      <c r="Q13" s="42" t="s">
        <v>3</v>
      </c>
      <c r="R13" s="1192"/>
      <c r="S13" s="317"/>
      <c r="T13" s="64"/>
      <c r="U13" s="64"/>
      <c r="V13" s="149"/>
      <c r="W13" s="42"/>
      <c r="X13" s="9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316"/>
      <c r="AQ13" s="8"/>
    </row>
    <row r="14" spans="1:46" ht="18.600000000000001" customHeight="1" x14ac:dyDescent="0.25">
      <c r="A14" s="1223"/>
      <c r="B14" s="1500"/>
      <c r="C14" s="1277"/>
      <c r="D14" s="1513"/>
      <c r="E14" s="1780"/>
      <c r="F14" s="1510"/>
      <c r="G14" s="1729"/>
      <c r="H14" s="1725"/>
      <c r="I14" s="1053" t="s">
        <v>8</v>
      </c>
      <c r="J14" s="911"/>
      <c r="K14" s="42" t="s">
        <v>2</v>
      </c>
      <c r="L14" s="947"/>
      <c r="M14" s="1725"/>
      <c r="N14" s="1725"/>
      <c r="O14" s="1053" t="s">
        <v>8</v>
      </c>
      <c r="P14" s="911">
        <v>32.856999999999999</v>
      </c>
      <c r="Q14" s="42" t="s">
        <v>2</v>
      </c>
      <c r="R14" s="923">
        <v>501.75700000000001</v>
      </c>
      <c r="S14" s="317"/>
      <c r="T14" s="64"/>
      <c r="U14" s="64"/>
      <c r="V14" s="149"/>
      <c r="W14" s="42"/>
      <c r="X14" s="96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316"/>
      <c r="AQ14" s="8"/>
    </row>
    <row r="15" spans="1:46" ht="18.600000000000001" customHeight="1" thickBot="1" x14ac:dyDescent="0.3">
      <c r="A15" s="1223"/>
      <c r="B15" s="1500"/>
      <c r="C15" s="1277"/>
      <c r="D15" s="1513"/>
      <c r="E15" s="1780"/>
      <c r="F15" s="1510"/>
      <c r="G15" s="1730"/>
      <c r="H15" s="1713"/>
      <c r="I15" s="1113" t="s">
        <v>32</v>
      </c>
      <c r="J15" s="943"/>
      <c r="K15" s="177" t="s">
        <v>10</v>
      </c>
      <c r="L15" s="288"/>
      <c r="M15" s="1713"/>
      <c r="N15" s="1713"/>
      <c r="O15" s="1113" t="s">
        <v>32</v>
      </c>
      <c r="P15" s="943">
        <v>132</v>
      </c>
      <c r="Q15" s="177" t="s">
        <v>10</v>
      </c>
      <c r="R15" s="861">
        <v>1484.0709999999999</v>
      </c>
      <c r="S15" s="317"/>
      <c r="T15" s="64"/>
      <c r="U15" s="64"/>
      <c r="V15" s="149"/>
      <c r="W15" s="42"/>
      <c r="X15" s="9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316"/>
      <c r="AQ15" s="8"/>
    </row>
    <row r="16" spans="1:46" ht="17.649999999999999" hidden="1" customHeight="1" x14ac:dyDescent="0.25">
      <c r="A16" s="1223"/>
      <c r="B16" s="1500"/>
      <c r="C16" s="1277"/>
      <c r="D16" s="1513"/>
      <c r="E16" s="1780"/>
      <c r="F16" s="1510"/>
      <c r="G16" s="1397" t="s">
        <v>1168</v>
      </c>
      <c r="H16" s="1398"/>
      <c r="I16" s="1398"/>
      <c r="J16" s="465"/>
      <c r="K16" s="1110"/>
      <c r="L16" s="286"/>
      <c r="M16" s="287"/>
      <c r="N16" s="287"/>
      <c r="O16" s="907"/>
      <c r="P16" s="384"/>
      <c r="Q16" s="1110"/>
      <c r="R16" s="667"/>
      <c r="S16" s="321"/>
      <c r="T16" s="887"/>
      <c r="U16" s="64"/>
      <c r="V16" s="149"/>
      <c r="W16" s="42"/>
      <c r="X16" s="9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316"/>
      <c r="AQ16" s="8"/>
    </row>
    <row r="17" spans="1:43" ht="18" hidden="1" customHeight="1" x14ac:dyDescent="0.25">
      <c r="A17" s="1223"/>
      <c r="B17" s="1500"/>
      <c r="C17" s="1277"/>
      <c r="D17" s="1513"/>
      <c r="E17" s="1780"/>
      <c r="F17" s="1510"/>
      <c r="G17" s="1399" t="s">
        <v>1170</v>
      </c>
      <c r="H17" s="1269"/>
      <c r="I17" s="1269"/>
      <c r="J17" s="947"/>
      <c r="K17" s="42"/>
      <c r="L17" s="322">
        <v>72399.354000000007</v>
      </c>
      <c r="M17" s="1050"/>
      <c r="N17" s="1050"/>
      <c r="O17" s="877"/>
      <c r="P17" s="1007"/>
      <c r="Q17" s="42"/>
      <c r="R17" s="665">
        <v>50000</v>
      </c>
      <c r="S17" s="321"/>
      <c r="T17" s="887"/>
      <c r="U17" s="64"/>
      <c r="V17" s="149"/>
      <c r="W17" s="42"/>
      <c r="X17" s="96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316"/>
      <c r="AQ17" s="8"/>
    </row>
    <row r="18" spans="1:43" ht="14.85" hidden="1" customHeight="1" thickBot="1" x14ac:dyDescent="0.3">
      <c r="A18" s="1223"/>
      <c r="B18" s="1500"/>
      <c r="C18" s="1277"/>
      <c r="D18" s="1513"/>
      <c r="E18" s="1780"/>
      <c r="F18" s="1510"/>
      <c r="G18" s="1400" t="s">
        <v>1169</v>
      </c>
      <c r="H18" s="1401"/>
      <c r="I18" s="1401"/>
      <c r="J18" s="288"/>
      <c r="K18" s="177"/>
      <c r="L18" s="323">
        <v>44507.108</v>
      </c>
      <c r="M18" s="1051"/>
      <c r="N18" s="1051"/>
      <c r="O18" s="891"/>
      <c r="P18" s="615"/>
      <c r="Q18" s="177"/>
      <c r="R18" s="666"/>
      <c r="S18" s="321"/>
      <c r="T18" s="887"/>
      <c r="U18" s="64"/>
      <c r="V18" s="149"/>
      <c r="W18" s="42"/>
      <c r="X18" s="96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316"/>
      <c r="AQ18" s="8"/>
    </row>
    <row r="19" spans="1:43" ht="22.5" customHeight="1" x14ac:dyDescent="0.25">
      <c r="A19" s="1223"/>
      <c r="B19" s="1500"/>
      <c r="C19" s="1277"/>
      <c r="D19" s="1513"/>
      <c r="E19" s="1780"/>
      <c r="F19" s="1510"/>
      <c r="G19" s="1728" t="s">
        <v>1033</v>
      </c>
      <c r="H19" s="1712" t="s">
        <v>1034</v>
      </c>
      <c r="I19" s="1421" t="s">
        <v>7</v>
      </c>
      <c r="J19" s="929">
        <f>28.03-20.925</f>
        <v>7.1050000000000004</v>
      </c>
      <c r="K19" s="171" t="s">
        <v>2</v>
      </c>
      <c r="L19" s="1461">
        <v>49903.125999999997</v>
      </c>
      <c r="M19" s="282"/>
      <c r="N19" s="150"/>
      <c r="O19" s="151"/>
      <c r="P19" s="1078"/>
      <c r="Q19" s="165"/>
      <c r="R19" s="626"/>
      <c r="S19" s="317"/>
      <c r="T19" s="64"/>
      <c r="U19" s="64"/>
      <c r="V19" s="145"/>
      <c r="W19" s="318"/>
      <c r="X19" s="96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316"/>
      <c r="AQ19" s="8"/>
    </row>
    <row r="20" spans="1:43" ht="23.85" customHeight="1" thickBot="1" x14ac:dyDescent="0.3">
      <c r="A20" s="1223"/>
      <c r="B20" s="1500"/>
      <c r="C20" s="1277"/>
      <c r="D20" s="1513"/>
      <c r="E20" s="1780"/>
      <c r="F20" s="1510"/>
      <c r="G20" s="1730"/>
      <c r="H20" s="1713"/>
      <c r="I20" s="1868"/>
      <c r="J20" s="1020">
        <v>53031</v>
      </c>
      <c r="K20" s="614" t="s">
        <v>3</v>
      </c>
      <c r="L20" s="1283"/>
      <c r="M20" s="292"/>
      <c r="N20" s="293"/>
      <c r="O20" s="294"/>
      <c r="P20" s="1087"/>
      <c r="Q20" s="1109"/>
      <c r="R20" s="627"/>
      <c r="S20" s="317"/>
      <c r="T20" s="64"/>
      <c r="U20" s="64"/>
      <c r="V20" s="145"/>
      <c r="W20" s="318"/>
      <c r="X20" s="96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316"/>
      <c r="AQ20" s="8"/>
    </row>
    <row r="21" spans="1:43" ht="28.9" customHeight="1" x14ac:dyDescent="0.25">
      <c r="A21" s="1223"/>
      <c r="B21" s="1500"/>
      <c r="C21" s="1277"/>
      <c r="D21" s="1513"/>
      <c r="E21" s="1780"/>
      <c r="F21" s="1510"/>
      <c r="G21" s="287"/>
      <c r="H21" s="287"/>
      <c r="I21" s="907"/>
      <c r="J21" s="912"/>
      <c r="K21" s="1110"/>
      <c r="L21" s="460"/>
      <c r="M21" s="1728" t="s">
        <v>1202</v>
      </c>
      <c r="N21" s="1712" t="s">
        <v>1120</v>
      </c>
      <c r="O21" s="1421" t="s">
        <v>7</v>
      </c>
      <c r="P21" s="929">
        <v>1.2330000000000001</v>
      </c>
      <c r="Q21" s="886" t="s">
        <v>2</v>
      </c>
      <c r="R21" s="1461">
        <f>22321.768-R23-R24</f>
        <v>21979.46</v>
      </c>
      <c r="S21" s="317"/>
      <c r="T21" s="64"/>
      <c r="U21" s="64"/>
      <c r="V21" s="145"/>
      <c r="W21" s="318"/>
      <c r="X21" s="9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316"/>
      <c r="AQ21" s="1896" t="s">
        <v>1214</v>
      </c>
    </row>
    <row r="22" spans="1:43" ht="28.9" customHeight="1" thickBot="1" x14ac:dyDescent="0.3">
      <c r="A22" s="1223"/>
      <c r="B22" s="1500"/>
      <c r="C22" s="1277"/>
      <c r="D22" s="1513"/>
      <c r="E22" s="1780"/>
      <c r="F22" s="1510"/>
      <c r="G22" s="1050"/>
      <c r="H22" s="1050"/>
      <c r="I22" s="877"/>
      <c r="J22" s="911"/>
      <c r="K22" s="42"/>
      <c r="L22" s="461"/>
      <c r="M22" s="1729"/>
      <c r="N22" s="1725"/>
      <c r="O22" s="1868"/>
      <c r="P22" s="943">
        <v>7684</v>
      </c>
      <c r="Q22" s="888" t="s">
        <v>3</v>
      </c>
      <c r="R22" s="1283"/>
      <c r="S22" s="317"/>
      <c r="T22" s="64"/>
      <c r="U22" s="64"/>
      <c r="V22" s="145"/>
      <c r="W22" s="318"/>
      <c r="X22" s="9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316"/>
      <c r="AQ22" s="1897"/>
    </row>
    <row r="23" spans="1:43" ht="22.5" customHeight="1" x14ac:dyDescent="0.25">
      <c r="A23" s="1223"/>
      <c r="B23" s="1500"/>
      <c r="C23" s="1277"/>
      <c r="D23" s="1513"/>
      <c r="E23" s="1780"/>
      <c r="F23" s="1510"/>
      <c r="G23" s="463"/>
      <c r="H23" s="287"/>
      <c r="I23" s="907"/>
      <c r="J23" s="912"/>
      <c r="K23" s="1110"/>
      <c r="L23" s="460"/>
      <c r="M23" s="1729"/>
      <c r="N23" s="1725"/>
      <c r="O23" s="1053" t="s">
        <v>8</v>
      </c>
      <c r="P23" s="911">
        <v>2.6048</v>
      </c>
      <c r="Q23" s="42" t="s">
        <v>2</v>
      </c>
      <c r="R23" s="923">
        <v>42.127000000000002</v>
      </c>
      <c r="S23" s="317"/>
      <c r="T23" s="64"/>
      <c r="U23" s="64"/>
      <c r="V23" s="145"/>
      <c r="W23" s="318"/>
      <c r="X23" s="9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316"/>
      <c r="AQ23" s="464"/>
    </row>
    <row r="24" spans="1:43" ht="23.85" customHeight="1" thickBot="1" x14ac:dyDescent="0.3">
      <c r="A24" s="1223"/>
      <c r="B24" s="1500"/>
      <c r="C24" s="1277"/>
      <c r="D24" s="1513"/>
      <c r="E24" s="1780"/>
      <c r="F24" s="1510"/>
      <c r="G24" s="463"/>
      <c r="H24" s="287"/>
      <c r="I24" s="907"/>
      <c r="J24" s="912"/>
      <c r="K24" s="1110"/>
      <c r="L24" s="460"/>
      <c r="M24" s="1729"/>
      <c r="N24" s="1725"/>
      <c r="O24" s="976" t="s">
        <v>32</v>
      </c>
      <c r="P24" s="1087">
        <v>46</v>
      </c>
      <c r="Q24" s="1109" t="s">
        <v>10</v>
      </c>
      <c r="R24" s="924">
        <v>300.18099999999998</v>
      </c>
      <c r="S24" s="317"/>
      <c r="T24" s="64"/>
      <c r="U24" s="64"/>
      <c r="V24" s="145"/>
      <c r="W24" s="318"/>
      <c r="X24" s="96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316"/>
      <c r="AQ24" s="464"/>
    </row>
    <row r="25" spans="1:43" ht="23.85" hidden="1" customHeight="1" x14ac:dyDescent="0.25">
      <c r="A25" s="1223"/>
      <c r="B25" s="1500"/>
      <c r="C25" s="1277"/>
      <c r="D25" s="1513"/>
      <c r="E25" s="1780"/>
      <c r="F25" s="1510"/>
      <c r="G25" s="456"/>
      <c r="H25" s="287"/>
      <c r="I25" s="907"/>
      <c r="J25" s="912"/>
      <c r="K25" s="1110"/>
      <c r="L25" s="460"/>
      <c r="M25" s="1801"/>
      <c r="N25" s="1365"/>
      <c r="O25" s="1909"/>
      <c r="P25" s="598"/>
      <c r="Q25" s="599"/>
      <c r="R25" s="1911"/>
      <c r="S25" s="317"/>
      <c r="T25" s="64"/>
      <c r="U25" s="64"/>
      <c r="V25" s="145"/>
      <c r="W25" s="318"/>
      <c r="X25" s="96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316"/>
      <c r="AQ25" s="1158" t="s">
        <v>1199</v>
      </c>
    </row>
    <row r="26" spans="1:43" ht="23.85" hidden="1" customHeight="1" x14ac:dyDescent="0.25">
      <c r="A26" s="1223"/>
      <c r="B26" s="1500"/>
      <c r="C26" s="1277"/>
      <c r="D26" s="1513"/>
      <c r="E26" s="1780"/>
      <c r="F26" s="1510"/>
      <c r="G26" s="1050"/>
      <c r="H26" s="1050"/>
      <c r="I26" s="877"/>
      <c r="J26" s="911"/>
      <c r="K26" s="42"/>
      <c r="L26" s="461"/>
      <c r="M26" s="1802"/>
      <c r="N26" s="1366"/>
      <c r="O26" s="1910"/>
      <c r="P26" s="1007"/>
      <c r="Q26" s="28"/>
      <c r="R26" s="1912"/>
      <c r="S26" s="317"/>
      <c r="T26" s="64"/>
      <c r="U26" s="64"/>
      <c r="V26" s="145"/>
      <c r="W26" s="318"/>
      <c r="X26" s="9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316"/>
      <c r="AQ26" s="1159"/>
    </row>
    <row r="27" spans="1:43" ht="23.85" hidden="1" customHeight="1" x14ac:dyDescent="0.25">
      <c r="A27" s="1223"/>
      <c r="B27" s="1500"/>
      <c r="C27" s="1277"/>
      <c r="D27" s="1513"/>
      <c r="E27" s="1780"/>
      <c r="F27" s="1510"/>
      <c r="G27" s="1050"/>
      <c r="H27" s="1050"/>
      <c r="I27" s="877"/>
      <c r="J27" s="911"/>
      <c r="K27" s="42"/>
      <c r="L27" s="461"/>
      <c r="M27" s="1802"/>
      <c r="N27" s="1366"/>
      <c r="O27" s="942"/>
      <c r="P27" s="600"/>
      <c r="Q27" s="28"/>
      <c r="R27" s="271"/>
      <c r="S27" s="317"/>
      <c r="T27" s="64"/>
      <c r="U27" s="64"/>
      <c r="V27" s="145"/>
      <c r="W27" s="318"/>
      <c r="X27" s="96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316"/>
      <c r="AQ27" s="936"/>
    </row>
    <row r="28" spans="1:43" ht="23.85" hidden="1" customHeight="1" x14ac:dyDescent="0.25">
      <c r="A28" s="1223"/>
      <c r="B28" s="1500"/>
      <c r="C28" s="1277"/>
      <c r="D28" s="1513"/>
      <c r="E28" s="1780"/>
      <c r="F28" s="1510"/>
      <c r="G28" s="1050"/>
      <c r="H28" s="1050"/>
      <c r="I28" s="877"/>
      <c r="J28" s="911"/>
      <c r="K28" s="42"/>
      <c r="L28" s="461"/>
      <c r="M28" s="1802"/>
      <c r="N28" s="1366"/>
      <c r="O28" s="942"/>
      <c r="P28" s="364"/>
      <c r="Q28" s="28"/>
      <c r="R28" s="271"/>
      <c r="S28" s="317"/>
      <c r="T28" s="64"/>
      <c r="U28" s="64"/>
      <c r="V28" s="145"/>
      <c r="W28" s="318"/>
      <c r="X28" s="9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316"/>
      <c r="AQ28" s="936"/>
    </row>
    <row r="29" spans="1:43" ht="40.15" hidden="1" customHeight="1" x14ac:dyDescent="0.25">
      <c r="A29" s="1223"/>
      <c r="B29" s="1500"/>
      <c r="C29" s="1277"/>
      <c r="D29" s="1513"/>
      <c r="E29" s="1780"/>
      <c r="F29" s="1510"/>
      <c r="G29" s="1050"/>
      <c r="H29" s="1050"/>
      <c r="I29" s="877"/>
      <c r="J29" s="911"/>
      <c r="K29" s="42"/>
      <c r="L29" s="461"/>
      <c r="M29" s="1802"/>
      <c r="N29" s="1366"/>
      <c r="O29" s="601"/>
      <c r="P29" s="1059"/>
      <c r="Q29" s="994"/>
      <c r="R29" s="271"/>
      <c r="S29" s="317"/>
      <c r="T29" s="64"/>
      <c r="U29" s="64"/>
      <c r="V29" s="145"/>
      <c r="W29" s="318"/>
      <c r="X29" s="96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316"/>
      <c r="AQ29" s="936"/>
    </row>
    <row r="30" spans="1:43" ht="35.65" hidden="1" customHeight="1" x14ac:dyDescent="0.25">
      <c r="A30" s="1223"/>
      <c r="B30" s="1500"/>
      <c r="C30" s="1277"/>
      <c r="D30" s="1513"/>
      <c r="E30" s="1780"/>
      <c r="F30" s="1510"/>
      <c r="G30" s="1050"/>
      <c r="H30" s="1050"/>
      <c r="I30" s="877"/>
      <c r="J30" s="911"/>
      <c r="K30" s="42"/>
      <c r="L30" s="461"/>
      <c r="M30" s="1802"/>
      <c r="N30" s="1366"/>
      <c r="O30" s="601"/>
      <c r="P30" s="1059"/>
      <c r="Q30" s="28"/>
      <c r="R30" s="271"/>
      <c r="S30" s="317"/>
      <c r="T30" s="64"/>
      <c r="U30" s="64"/>
      <c r="V30" s="145"/>
      <c r="W30" s="318"/>
      <c r="X30" s="96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316"/>
      <c r="AQ30" s="936"/>
    </row>
    <row r="31" spans="1:43" ht="23.85" hidden="1" customHeight="1" thickBot="1" x14ac:dyDescent="0.3">
      <c r="A31" s="1224"/>
      <c r="B31" s="1255"/>
      <c r="C31" s="1278"/>
      <c r="D31" s="1337"/>
      <c r="E31" s="1782"/>
      <c r="F31" s="1512"/>
      <c r="G31" s="1051"/>
      <c r="H31" s="1051"/>
      <c r="I31" s="891"/>
      <c r="J31" s="943"/>
      <c r="K31" s="177"/>
      <c r="L31" s="737"/>
      <c r="M31" s="1803"/>
      <c r="N31" s="1367"/>
      <c r="O31" s="995"/>
      <c r="P31" s="602"/>
      <c r="Q31" s="995"/>
      <c r="R31" s="628"/>
      <c r="S31" s="317"/>
      <c r="T31" s="64"/>
      <c r="U31" s="64"/>
      <c r="V31" s="145"/>
      <c r="W31" s="318"/>
      <c r="X31" s="96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316"/>
      <c r="AQ31" s="936"/>
    </row>
    <row r="32" spans="1:43" ht="23.1" customHeight="1" x14ac:dyDescent="0.25">
      <c r="A32" s="1227">
        <v>3</v>
      </c>
      <c r="B32" s="1357" t="s">
        <v>1026</v>
      </c>
      <c r="C32" s="1256" t="s">
        <v>880</v>
      </c>
      <c r="D32" s="1253" t="s">
        <v>163</v>
      </c>
      <c r="E32" s="1261">
        <v>13.519</v>
      </c>
      <c r="F32" s="1797">
        <v>84893</v>
      </c>
      <c r="G32" s="1728" t="s">
        <v>1031</v>
      </c>
      <c r="H32" s="1712" t="s">
        <v>1079</v>
      </c>
      <c r="I32" s="1421" t="s">
        <v>7</v>
      </c>
      <c r="J32" s="929"/>
      <c r="K32" s="171" t="s">
        <v>2</v>
      </c>
      <c r="L32" s="1182">
        <v>80289.981</v>
      </c>
      <c r="M32" s="1712" t="s">
        <v>1031</v>
      </c>
      <c r="N32" s="1712" t="s">
        <v>1079</v>
      </c>
      <c r="O32" s="1421" t="s">
        <v>7</v>
      </c>
      <c r="P32" s="929">
        <v>8</v>
      </c>
      <c r="Q32" s="171" t="s">
        <v>2</v>
      </c>
      <c r="R32" s="1461">
        <f>13177.3236-R34</f>
        <v>12533.4586</v>
      </c>
      <c r="S32" s="178"/>
      <c r="T32" s="9"/>
      <c r="U32" s="9"/>
      <c r="V32" s="74"/>
      <c r="W32" s="9"/>
      <c r="X32" s="74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316"/>
      <c r="AQ32" s="386"/>
    </row>
    <row r="33" spans="1:43" ht="18.75" customHeight="1" thickBot="1" x14ac:dyDescent="0.3">
      <c r="A33" s="1223"/>
      <c r="B33" s="1358"/>
      <c r="C33" s="1277"/>
      <c r="D33" s="1500"/>
      <c r="E33" s="1552"/>
      <c r="F33" s="1798"/>
      <c r="G33" s="1729"/>
      <c r="H33" s="1725"/>
      <c r="I33" s="1868"/>
      <c r="J33" s="911"/>
      <c r="K33" s="42" t="s">
        <v>3</v>
      </c>
      <c r="L33" s="1689"/>
      <c r="M33" s="1725"/>
      <c r="N33" s="1725"/>
      <c r="O33" s="1868"/>
      <c r="P33" s="911">
        <v>49421</v>
      </c>
      <c r="Q33" s="42" t="s">
        <v>3</v>
      </c>
      <c r="R33" s="1283"/>
      <c r="S33" s="178"/>
      <c r="T33" s="9"/>
      <c r="U33" s="9"/>
      <c r="V33" s="74"/>
      <c r="W33" s="9"/>
      <c r="X33" s="7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316"/>
      <c r="AQ33" s="8"/>
    </row>
    <row r="34" spans="1:43" ht="18.75" customHeight="1" thickBot="1" x14ac:dyDescent="0.3">
      <c r="A34" s="1224"/>
      <c r="B34" s="1359"/>
      <c r="C34" s="1278"/>
      <c r="D34" s="1255"/>
      <c r="E34" s="1517"/>
      <c r="F34" s="1799"/>
      <c r="G34" s="1730"/>
      <c r="H34" s="1713"/>
      <c r="I34" s="1113" t="s">
        <v>32</v>
      </c>
      <c r="J34" s="1020"/>
      <c r="K34" s="614" t="s">
        <v>10</v>
      </c>
      <c r="L34" s="1735"/>
      <c r="M34" s="1713"/>
      <c r="N34" s="1713"/>
      <c r="O34" s="1113" t="s">
        <v>32</v>
      </c>
      <c r="P34" s="1020">
        <v>72</v>
      </c>
      <c r="Q34" s="614" t="s">
        <v>10</v>
      </c>
      <c r="R34" s="861">
        <v>643.86500000000001</v>
      </c>
      <c r="S34" s="178"/>
      <c r="T34" s="1045"/>
      <c r="U34" s="9"/>
      <c r="V34" s="74"/>
      <c r="W34" s="1046"/>
      <c r="X34" s="234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316"/>
      <c r="AQ34" s="8"/>
    </row>
    <row r="35" spans="1:43" s="197" customFormat="1" ht="17.649999999999999" customHeight="1" x14ac:dyDescent="0.25">
      <c r="A35" s="1329">
        <v>4</v>
      </c>
      <c r="B35" s="1498" t="s">
        <v>1068</v>
      </c>
      <c r="C35" s="1889" t="s">
        <v>60</v>
      </c>
      <c r="D35" s="1382" t="s">
        <v>206</v>
      </c>
      <c r="E35" s="1342">
        <f>28.44</f>
        <v>28.44</v>
      </c>
      <c r="F35" s="1882">
        <f>245012</f>
        <v>245012</v>
      </c>
      <c r="G35" s="1903" t="s">
        <v>1066</v>
      </c>
      <c r="H35" s="1354" t="s">
        <v>1067</v>
      </c>
      <c r="I35" s="1190" t="s">
        <v>7</v>
      </c>
      <c r="J35" s="910"/>
      <c r="K35" s="881" t="s">
        <v>2</v>
      </c>
      <c r="L35" s="1298">
        <v>6660</v>
      </c>
      <c r="M35" s="1354" t="s">
        <v>1066</v>
      </c>
      <c r="N35" s="1354" t="s">
        <v>1067</v>
      </c>
      <c r="O35" s="1190" t="s">
        <v>7</v>
      </c>
      <c r="P35" s="929">
        <v>7</v>
      </c>
      <c r="Q35" s="881" t="s">
        <v>2</v>
      </c>
      <c r="R35" s="1888">
        <f>58728.02356-R37-R38-R39</f>
        <v>56896.117560000006</v>
      </c>
      <c r="S35" s="24"/>
      <c r="T35" s="24"/>
      <c r="U35" s="24"/>
      <c r="V35" s="911"/>
      <c r="W35" s="882"/>
      <c r="X35" s="152"/>
      <c r="Y35" s="654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324"/>
      <c r="AQ35" s="196"/>
    </row>
    <row r="36" spans="1:43" s="73" customFormat="1" ht="17.649999999999999" customHeight="1" thickBot="1" x14ac:dyDescent="0.3">
      <c r="A36" s="1293"/>
      <c r="B36" s="1499"/>
      <c r="C36" s="1890"/>
      <c r="D36" s="1180"/>
      <c r="E36" s="1341"/>
      <c r="F36" s="1883"/>
      <c r="G36" s="1904"/>
      <c r="H36" s="1355"/>
      <c r="I36" s="1161"/>
      <c r="J36" s="943"/>
      <c r="K36" s="909" t="s">
        <v>3</v>
      </c>
      <c r="L36" s="1299"/>
      <c r="M36" s="1355"/>
      <c r="N36" s="1355"/>
      <c r="O36" s="1402"/>
      <c r="P36" s="467">
        <v>43670</v>
      </c>
      <c r="Q36" s="884" t="s">
        <v>3</v>
      </c>
      <c r="R36" s="1680"/>
      <c r="S36" s="24"/>
      <c r="T36" s="24"/>
      <c r="U36" s="24"/>
      <c r="V36" s="911"/>
      <c r="W36" s="882"/>
      <c r="X36" s="152"/>
      <c r="Y36" s="466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6"/>
      <c r="AQ36" s="198"/>
    </row>
    <row r="37" spans="1:43" s="73" customFormat="1" ht="17.649999999999999" customHeight="1" x14ac:dyDescent="0.25">
      <c r="A37" s="1293"/>
      <c r="B37" s="1499"/>
      <c r="C37" s="1890"/>
      <c r="D37" s="1180"/>
      <c r="E37" s="1341"/>
      <c r="F37" s="1883"/>
      <c r="G37" s="1904"/>
      <c r="H37" s="1355"/>
      <c r="I37" s="1053" t="s">
        <v>8</v>
      </c>
      <c r="J37" s="911"/>
      <c r="K37" s="42" t="s">
        <v>2</v>
      </c>
      <c r="L37" s="911"/>
      <c r="M37" s="1355"/>
      <c r="N37" s="1355"/>
      <c r="O37" s="1053" t="s">
        <v>8</v>
      </c>
      <c r="P37" s="911">
        <v>20.004000000000001</v>
      </c>
      <c r="Q37" s="42" t="s">
        <v>2</v>
      </c>
      <c r="R37" s="461">
        <v>257.471</v>
      </c>
      <c r="S37" s="882"/>
      <c r="T37" s="882"/>
      <c r="U37" s="882"/>
      <c r="V37" s="911"/>
      <c r="W37" s="882"/>
      <c r="X37" s="911"/>
      <c r="Y37" s="466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6"/>
      <c r="AQ37" s="198"/>
    </row>
    <row r="38" spans="1:43" s="73" customFormat="1" ht="17.649999999999999" customHeight="1" x14ac:dyDescent="0.25">
      <c r="A38" s="1293"/>
      <c r="B38" s="1499"/>
      <c r="C38" s="1890"/>
      <c r="D38" s="1180"/>
      <c r="E38" s="1341"/>
      <c r="F38" s="1883"/>
      <c r="G38" s="1904"/>
      <c r="H38" s="1355"/>
      <c r="I38" s="1053" t="s">
        <v>32</v>
      </c>
      <c r="J38" s="911"/>
      <c r="K38" s="42" t="s">
        <v>10</v>
      </c>
      <c r="L38" s="911"/>
      <c r="M38" s="1355"/>
      <c r="N38" s="1355"/>
      <c r="O38" s="1053" t="s">
        <v>32</v>
      </c>
      <c r="P38" s="911">
        <v>52</v>
      </c>
      <c r="Q38" s="42" t="s">
        <v>10</v>
      </c>
      <c r="R38" s="461">
        <v>416.26299999999998</v>
      </c>
      <c r="S38" s="882"/>
      <c r="T38" s="882"/>
      <c r="U38" s="882"/>
      <c r="V38" s="911"/>
      <c r="W38" s="882"/>
      <c r="X38" s="911"/>
      <c r="Y38" s="466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6"/>
      <c r="AQ38" s="198"/>
    </row>
    <row r="39" spans="1:43" s="73" customFormat="1" ht="32.1" customHeight="1" thickBot="1" x14ac:dyDescent="0.3">
      <c r="A39" s="1294"/>
      <c r="B39" s="1276"/>
      <c r="C39" s="1891"/>
      <c r="D39" s="1231"/>
      <c r="E39" s="1239"/>
      <c r="F39" s="1884"/>
      <c r="G39" s="1905"/>
      <c r="H39" s="1356"/>
      <c r="I39" s="877" t="s">
        <v>1219</v>
      </c>
      <c r="J39" s="1050"/>
      <c r="K39" s="882" t="s">
        <v>1080</v>
      </c>
      <c r="L39" s="911"/>
      <c r="M39" s="1356"/>
      <c r="N39" s="1356"/>
      <c r="O39" s="877" t="s">
        <v>1219</v>
      </c>
      <c r="P39" s="1050">
        <v>400</v>
      </c>
      <c r="Q39" s="882" t="s">
        <v>1080</v>
      </c>
      <c r="R39" s="461">
        <v>1158.172</v>
      </c>
      <c r="S39" s="882"/>
      <c r="T39" s="882"/>
      <c r="U39" s="882"/>
      <c r="V39" s="911"/>
      <c r="W39" s="882"/>
      <c r="X39" s="911"/>
      <c r="Y39" s="466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6"/>
      <c r="AQ39" s="198"/>
    </row>
    <row r="40" spans="1:43" ht="22.5" customHeight="1" x14ac:dyDescent="0.25">
      <c r="A40" s="1329">
        <v>5</v>
      </c>
      <c r="B40" s="1272">
        <v>1960392</v>
      </c>
      <c r="C40" s="1193" t="s">
        <v>101</v>
      </c>
      <c r="D40" s="1589" t="s">
        <v>121</v>
      </c>
      <c r="E40" s="1445">
        <v>19.695</v>
      </c>
      <c r="F40" s="1998">
        <v>124737</v>
      </c>
      <c r="G40" s="472"/>
      <c r="H40" s="472"/>
      <c r="I40" s="473"/>
      <c r="J40" s="927"/>
      <c r="K40" s="964"/>
      <c r="L40" s="927"/>
      <c r="M40" s="690"/>
      <c r="N40" s="690"/>
      <c r="O40" s="691"/>
      <c r="P40" s="913"/>
      <c r="Q40" s="964"/>
      <c r="R40" s="703"/>
      <c r="S40" s="24"/>
      <c r="T40" s="24"/>
      <c r="U40" s="206"/>
      <c r="V40" s="914"/>
      <c r="W40" s="876"/>
      <c r="X40" s="152"/>
      <c r="Y40" s="1999" t="s">
        <v>1040</v>
      </c>
      <c r="Z40" s="1240" t="s">
        <v>1041</v>
      </c>
      <c r="AA40" s="1207" t="s">
        <v>7</v>
      </c>
      <c r="AB40" s="913">
        <v>6.8070000000000004</v>
      </c>
      <c r="AC40" s="964" t="s">
        <v>2</v>
      </c>
      <c r="AD40" s="2000">
        <f>187429.0224/9*AB40</f>
        <v>141758.81727520001</v>
      </c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316"/>
      <c r="AQ40" s="8"/>
    </row>
    <row r="41" spans="1:43" ht="27.75" customHeight="1" thickBot="1" x14ac:dyDescent="0.3">
      <c r="A41" s="1294"/>
      <c r="B41" s="1231"/>
      <c r="C41" s="1194"/>
      <c r="D41" s="1590"/>
      <c r="E41" s="1996"/>
      <c r="F41" s="2001"/>
      <c r="G41" s="588"/>
      <c r="H41" s="588"/>
      <c r="I41" s="261"/>
      <c r="J41" s="1024"/>
      <c r="K41" s="965"/>
      <c r="L41" s="1024"/>
      <c r="M41" s="694"/>
      <c r="N41" s="694"/>
      <c r="O41" s="659"/>
      <c r="P41" s="1024"/>
      <c r="Q41" s="965"/>
      <c r="R41" s="704"/>
      <c r="S41" s="24"/>
      <c r="T41" s="24"/>
      <c r="U41" s="206"/>
      <c r="V41" s="928"/>
      <c r="W41" s="876"/>
      <c r="X41" s="152"/>
      <c r="Y41" s="2002"/>
      <c r="Z41" s="1241"/>
      <c r="AA41" s="1469"/>
      <c r="AB41" s="1024">
        <f>F40/E40*AB40</f>
        <v>43111.691241431836</v>
      </c>
      <c r="AC41" s="965" t="s">
        <v>3</v>
      </c>
      <c r="AD41" s="2003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316"/>
      <c r="AQ41" s="8"/>
    </row>
    <row r="42" spans="1:43" ht="24" hidden="1" customHeight="1" x14ac:dyDescent="0.25">
      <c r="A42" s="1235">
        <v>5</v>
      </c>
      <c r="B42" s="1289">
        <v>1960073</v>
      </c>
      <c r="C42" s="1193" t="s">
        <v>878</v>
      </c>
      <c r="D42" s="1273" t="s">
        <v>122</v>
      </c>
      <c r="E42" s="1360">
        <v>5.0330000000000004</v>
      </c>
      <c r="F42" s="1374">
        <v>42041</v>
      </c>
      <c r="G42" s="982"/>
      <c r="H42" s="982"/>
      <c r="I42" s="1052"/>
      <c r="J42" s="526"/>
      <c r="K42" s="886"/>
      <c r="L42" s="526"/>
      <c r="M42" s="328"/>
      <c r="N42" s="328"/>
      <c r="O42" s="215"/>
      <c r="P42" s="662"/>
      <c r="Q42" s="328"/>
      <c r="R42" s="668"/>
      <c r="S42" s="1892" t="s">
        <v>1031</v>
      </c>
      <c r="T42" s="1864" t="s">
        <v>1042</v>
      </c>
      <c r="U42" s="1873" t="s">
        <v>7</v>
      </c>
      <c r="V42" s="2004"/>
      <c r="W42" s="2005" t="s">
        <v>2</v>
      </c>
      <c r="X42" s="2006"/>
      <c r="Y42" s="769"/>
      <c r="Z42" s="769"/>
      <c r="AA42" s="770"/>
      <c r="AB42" s="771"/>
      <c r="AC42" s="264"/>
      <c r="AD42" s="772"/>
      <c r="AE42" s="314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316"/>
      <c r="AQ42" s="8"/>
    </row>
    <row r="43" spans="1:43" ht="22.5" hidden="1" customHeight="1" thickBot="1" x14ac:dyDescent="0.3">
      <c r="A43" s="1224"/>
      <c r="B43" s="1234"/>
      <c r="C43" s="1194"/>
      <c r="D43" s="1274"/>
      <c r="E43" s="1361"/>
      <c r="F43" s="1375"/>
      <c r="G43" s="984"/>
      <c r="H43" s="984"/>
      <c r="I43" s="1102"/>
      <c r="J43" s="1069"/>
      <c r="K43" s="890"/>
      <c r="L43" s="174"/>
      <c r="M43" s="331"/>
      <c r="N43" s="331"/>
      <c r="O43" s="220"/>
      <c r="P43" s="663"/>
      <c r="Q43" s="331"/>
      <c r="R43" s="669"/>
      <c r="S43" s="1893"/>
      <c r="T43" s="1865"/>
      <c r="U43" s="1874"/>
      <c r="V43" s="2007"/>
      <c r="W43" s="2008" t="s">
        <v>3</v>
      </c>
      <c r="X43" s="2009"/>
      <c r="Y43" s="769"/>
      <c r="Z43" s="769"/>
      <c r="AA43" s="770"/>
      <c r="AB43" s="773"/>
      <c r="AC43" s="264"/>
      <c r="AD43" s="772"/>
      <c r="AE43" s="314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316"/>
      <c r="AQ43" s="8"/>
    </row>
    <row r="44" spans="1:43" ht="20.65" customHeight="1" x14ac:dyDescent="0.25">
      <c r="A44" s="1818">
        <v>6</v>
      </c>
      <c r="B44" s="1816">
        <v>1960280</v>
      </c>
      <c r="C44" s="1813" t="s">
        <v>62</v>
      </c>
      <c r="D44" s="1811" t="s">
        <v>38</v>
      </c>
      <c r="E44" s="1379">
        <v>36.749000000000002</v>
      </c>
      <c r="F44" s="1376">
        <v>490904</v>
      </c>
      <c r="G44" s="1879" t="s">
        <v>1046</v>
      </c>
      <c r="H44" s="1879" t="s">
        <v>1047</v>
      </c>
      <c r="I44" s="1160" t="s">
        <v>7</v>
      </c>
      <c r="J44" s="929">
        <f>1.8+1.16+9.527</f>
        <v>12.486999999999998</v>
      </c>
      <c r="K44" s="886" t="s">
        <v>2</v>
      </c>
      <c r="L44" s="1307">
        <f>111192.049/13.6*12.487-L47-L46-7909.923</f>
        <v>93241.213931102946</v>
      </c>
      <c r="M44" s="844"/>
      <c r="N44" s="845"/>
      <c r="O44" s="733"/>
      <c r="P44" s="846"/>
      <c r="Q44" s="845"/>
      <c r="R44" s="736"/>
      <c r="S44" s="207"/>
      <c r="T44" s="207"/>
      <c r="U44" s="207"/>
      <c r="V44" s="179"/>
      <c r="W44" s="180"/>
      <c r="X44" s="179"/>
      <c r="Y44" s="768"/>
      <c r="Z44" s="768"/>
      <c r="AA44" s="768"/>
      <c r="AB44" s="768"/>
      <c r="AC44" s="768"/>
      <c r="AD44" s="768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1906" t="s">
        <v>1197</v>
      </c>
    </row>
    <row r="45" spans="1:43" x14ac:dyDescent="0.25">
      <c r="A45" s="1819"/>
      <c r="B45" s="1447"/>
      <c r="C45" s="1814"/>
      <c r="D45" s="1323"/>
      <c r="E45" s="1380"/>
      <c r="F45" s="1377"/>
      <c r="G45" s="1880"/>
      <c r="H45" s="1880"/>
      <c r="I45" s="1226"/>
      <c r="J45" s="911">
        <f>94367/13.6*J44</f>
        <v>86644.171249999985</v>
      </c>
      <c r="K45" s="42" t="s">
        <v>3</v>
      </c>
      <c r="L45" s="1308"/>
      <c r="M45" s="175"/>
      <c r="N45" s="133"/>
      <c r="O45" s="134"/>
      <c r="P45" s="135"/>
      <c r="Q45" s="133"/>
      <c r="R45" s="629"/>
      <c r="S45" s="133"/>
      <c r="T45" s="133"/>
      <c r="U45" s="133"/>
      <c r="V45" s="332"/>
      <c r="W45" s="333"/>
      <c r="X45" s="3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1907"/>
    </row>
    <row r="46" spans="1:43" x14ac:dyDescent="0.25">
      <c r="A46" s="1819"/>
      <c r="B46" s="1447"/>
      <c r="C46" s="1814"/>
      <c r="D46" s="1323"/>
      <c r="E46" s="1380"/>
      <c r="F46" s="1377"/>
      <c r="G46" s="1880"/>
      <c r="H46" s="1880"/>
      <c r="I46" s="1053" t="s">
        <v>8</v>
      </c>
      <c r="J46" s="930">
        <f>7.12+4.715+40</f>
        <v>51.835000000000001</v>
      </c>
      <c r="K46" s="42" t="s">
        <v>2</v>
      </c>
      <c r="L46" s="949">
        <v>779.57</v>
      </c>
      <c r="M46" s="175"/>
      <c r="N46" s="133"/>
      <c r="O46" s="134"/>
      <c r="P46" s="135"/>
      <c r="Q46" s="133"/>
      <c r="R46" s="629"/>
      <c r="S46" s="133"/>
      <c r="T46" s="133"/>
      <c r="U46" s="133"/>
      <c r="V46" s="332"/>
      <c r="W46" s="333"/>
      <c r="X46" s="3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1907"/>
    </row>
    <row r="47" spans="1:43" ht="17.649999999999999" customHeight="1" thickBot="1" x14ac:dyDescent="0.3">
      <c r="A47" s="1819"/>
      <c r="B47" s="1447"/>
      <c r="C47" s="1814"/>
      <c r="D47" s="1323"/>
      <c r="E47" s="1380"/>
      <c r="F47" s="1377"/>
      <c r="G47" s="1860"/>
      <c r="H47" s="1860"/>
      <c r="I47" s="1053" t="s">
        <v>32</v>
      </c>
      <c r="J47" s="901">
        <v>15</v>
      </c>
      <c r="K47" s="42" t="s">
        <v>10</v>
      </c>
      <c r="L47" s="949">
        <v>161.58099999999999</v>
      </c>
      <c r="M47" s="175"/>
      <c r="N47" s="133"/>
      <c r="O47" s="134"/>
      <c r="P47" s="135"/>
      <c r="Q47" s="133"/>
      <c r="R47" s="629"/>
      <c r="S47" s="209"/>
      <c r="T47" s="209"/>
      <c r="U47" s="209"/>
      <c r="V47" s="278"/>
      <c r="W47" s="252"/>
      <c r="X47" s="278"/>
      <c r="Y47" s="724"/>
      <c r="Z47" s="724"/>
      <c r="AA47" s="724"/>
      <c r="AB47" s="724"/>
      <c r="AC47" s="724"/>
      <c r="AD47" s="724"/>
      <c r="AE47" s="308"/>
      <c r="AF47" s="308"/>
      <c r="AG47" s="308"/>
      <c r="AH47" s="308"/>
      <c r="AI47" s="308"/>
      <c r="AJ47" s="308"/>
      <c r="AK47" s="32"/>
      <c r="AL47" s="32"/>
      <c r="AM47" s="32"/>
      <c r="AN47" s="32"/>
      <c r="AO47" s="32"/>
      <c r="AP47" s="32"/>
      <c r="AQ47" s="1908"/>
    </row>
    <row r="48" spans="1:43" ht="17.649999999999999" customHeight="1" x14ac:dyDescent="0.25">
      <c r="A48" s="1819"/>
      <c r="B48" s="1447"/>
      <c r="C48" s="1814"/>
      <c r="D48" s="1323"/>
      <c r="E48" s="1380"/>
      <c r="F48" s="1377"/>
      <c r="G48" s="955"/>
      <c r="H48" s="955"/>
      <c r="I48" s="1097"/>
      <c r="J48" s="834"/>
      <c r="K48" s="647"/>
      <c r="L48" s="835"/>
      <c r="M48" s="836"/>
      <c r="N48" s="837"/>
      <c r="O48" s="838"/>
      <c r="P48" s="839"/>
      <c r="Q48" s="837"/>
      <c r="R48" s="840"/>
      <c r="S48" s="1866" t="s">
        <v>1276</v>
      </c>
      <c r="T48" s="1866" t="s">
        <v>1277</v>
      </c>
      <c r="U48" s="1160" t="s">
        <v>7</v>
      </c>
      <c r="V48" s="929">
        <v>0.25</v>
      </c>
      <c r="W48" s="886" t="s">
        <v>2</v>
      </c>
      <c r="X48" s="1307">
        <v>6885.4560000000001</v>
      </c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841"/>
      <c r="AL48" s="842"/>
      <c r="AM48" s="768"/>
      <c r="AN48" s="768"/>
      <c r="AO48" s="768"/>
      <c r="AP48" s="843"/>
      <c r="AQ48" s="940"/>
    </row>
    <row r="49" spans="1:43" ht="17.649999999999999" customHeight="1" thickBot="1" x14ac:dyDescent="0.3">
      <c r="A49" s="1820"/>
      <c r="B49" s="1817"/>
      <c r="C49" s="1815"/>
      <c r="D49" s="1812"/>
      <c r="E49" s="1381"/>
      <c r="F49" s="1378"/>
      <c r="G49" s="955"/>
      <c r="H49" s="955"/>
      <c r="I49" s="1097"/>
      <c r="J49" s="834"/>
      <c r="K49" s="647"/>
      <c r="L49" s="835"/>
      <c r="M49" s="836"/>
      <c r="N49" s="837"/>
      <c r="O49" s="838"/>
      <c r="P49" s="839"/>
      <c r="Q49" s="837"/>
      <c r="R49" s="840"/>
      <c r="S49" s="1867"/>
      <c r="T49" s="1867"/>
      <c r="U49" s="1226"/>
      <c r="V49" s="911">
        <v>2505</v>
      </c>
      <c r="W49" s="42" t="s">
        <v>3</v>
      </c>
      <c r="X49" s="1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841"/>
      <c r="AL49" s="842"/>
      <c r="AM49" s="768"/>
      <c r="AN49" s="768"/>
      <c r="AO49" s="768"/>
      <c r="AP49" s="843"/>
      <c r="AQ49" s="940"/>
    </row>
    <row r="50" spans="1:43" ht="20.65" customHeight="1" x14ac:dyDescent="0.25">
      <c r="A50" s="1235">
        <v>7</v>
      </c>
      <c r="B50" s="1289">
        <v>1960132</v>
      </c>
      <c r="C50" s="1193" t="s">
        <v>115</v>
      </c>
      <c r="D50" s="1273" t="s">
        <v>39</v>
      </c>
      <c r="E50" s="1360">
        <f>41.2+39.952-41.2</f>
        <v>39.951999999999998</v>
      </c>
      <c r="F50" s="1374">
        <f>506660+502202-506660</f>
        <v>502202</v>
      </c>
      <c r="G50" s="334"/>
      <c r="H50" s="334"/>
      <c r="I50" s="225"/>
      <c r="J50" s="211"/>
      <c r="K50" s="182"/>
      <c r="L50" s="212"/>
      <c r="M50" s="213"/>
      <c r="N50" s="214"/>
      <c r="O50" s="215"/>
      <c r="P50" s="216"/>
      <c r="Q50" s="214"/>
      <c r="R50" s="526"/>
      <c r="S50" s="64"/>
      <c r="T50" s="64"/>
      <c r="U50" s="206"/>
      <c r="V50" s="85"/>
      <c r="W50" s="318"/>
      <c r="X50" s="96"/>
      <c r="Y50" s="64"/>
      <c r="Z50" s="64"/>
      <c r="AA50" s="206"/>
      <c r="AB50" s="85"/>
      <c r="AC50" s="318"/>
      <c r="AD50" s="96"/>
      <c r="AE50" s="64"/>
      <c r="AF50" s="64"/>
      <c r="AG50" s="206"/>
      <c r="AH50" s="85"/>
      <c r="AI50" s="1114"/>
      <c r="AJ50" s="96"/>
      <c r="AK50" s="1918" t="s">
        <v>1072</v>
      </c>
      <c r="AL50" s="1289" t="s">
        <v>1273</v>
      </c>
      <c r="AM50" s="1207" t="s">
        <v>7</v>
      </c>
      <c r="AN50" s="167">
        <v>12.5</v>
      </c>
      <c r="AO50" s="804" t="s">
        <v>2</v>
      </c>
      <c r="AP50" s="1968">
        <f>408100.342-200000</f>
        <v>208100.342</v>
      </c>
      <c r="AQ50" s="8"/>
    </row>
    <row r="51" spans="1:43" ht="21.2" customHeight="1" thickBot="1" x14ac:dyDescent="0.3">
      <c r="A51" s="1224"/>
      <c r="B51" s="1234"/>
      <c r="C51" s="1194"/>
      <c r="D51" s="1274"/>
      <c r="E51" s="1361"/>
      <c r="F51" s="1375"/>
      <c r="G51" s="335"/>
      <c r="H51" s="335"/>
      <c r="I51" s="226"/>
      <c r="J51" s="194"/>
      <c r="K51" s="177"/>
      <c r="L51" s="217"/>
      <c r="M51" s="218"/>
      <c r="N51" s="219"/>
      <c r="O51" s="220"/>
      <c r="P51" s="203"/>
      <c r="Q51" s="219"/>
      <c r="R51" s="174"/>
      <c r="S51" s="64"/>
      <c r="T51" s="64"/>
      <c r="U51" s="206"/>
      <c r="V51" s="1061"/>
      <c r="W51" s="318"/>
      <c r="X51" s="96"/>
      <c r="Y51" s="64"/>
      <c r="Z51" s="64"/>
      <c r="AA51" s="206"/>
      <c r="AB51" s="1061"/>
      <c r="AC51" s="318"/>
      <c r="AD51" s="96"/>
      <c r="AE51" s="64"/>
      <c r="AF51" s="64"/>
      <c r="AG51" s="206"/>
      <c r="AH51" s="1061"/>
      <c r="AI51" s="1114"/>
      <c r="AJ51" s="96"/>
      <c r="AK51" s="1919"/>
      <c r="AL51" s="1234"/>
      <c r="AM51" s="1469"/>
      <c r="AN51" s="176">
        <f>AN50*6000</f>
        <v>75000</v>
      </c>
      <c r="AO51" s="493" t="s">
        <v>3</v>
      </c>
      <c r="AP51" s="1915"/>
      <c r="AQ51" s="8"/>
    </row>
    <row r="52" spans="1:43" ht="25.15" hidden="1" customHeight="1" x14ac:dyDescent="0.25">
      <c r="A52" s="1253">
        <v>8</v>
      </c>
      <c r="B52" s="1253">
        <v>1960133</v>
      </c>
      <c r="C52" s="1383" t="s">
        <v>139</v>
      </c>
      <c r="D52" s="1336" t="s">
        <v>161</v>
      </c>
      <c r="E52" s="1744">
        <v>12.63</v>
      </c>
      <c r="F52" s="1369">
        <v>77780</v>
      </c>
      <c r="G52" s="1082"/>
      <c r="H52" s="1082"/>
      <c r="I52" s="981"/>
      <c r="J52" s="972"/>
      <c r="K52" s="898"/>
      <c r="L52" s="972"/>
      <c r="M52" s="1141"/>
      <c r="N52" s="1141"/>
      <c r="O52" s="1119"/>
      <c r="P52" s="148"/>
      <c r="Q52" s="1110"/>
      <c r="R52" s="631"/>
      <c r="S52" s="64"/>
      <c r="T52" s="64"/>
      <c r="U52" s="64"/>
      <c r="V52" s="145"/>
      <c r="W52" s="318"/>
      <c r="X52" s="96"/>
      <c r="Y52" s="1372" t="s">
        <v>1031</v>
      </c>
      <c r="Z52" s="1328" t="s">
        <v>1039</v>
      </c>
      <c r="AA52" s="1328" t="s">
        <v>47</v>
      </c>
      <c r="AB52" s="656"/>
      <c r="AC52" s="21" t="s">
        <v>2</v>
      </c>
      <c r="AD52" s="1267"/>
      <c r="AE52" s="9"/>
      <c r="AF52" s="9"/>
      <c r="AG52" s="9"/>
      <c r="AH52" s="9"/>
      <c r="AI52" s="9"/>
      <c r="AJ52" s="9"/>
      <c r="AK52" s="314"/>
      <c r="AL52" s="51"/>
      <c r="AM52" s="51"/>
      <c r="AN52" s="51"/>
      <c r="AO52" s="51"/>
      <c r="AP52" s="51"/>
      <c r="AQ52" s="8"/>
    </row>
    <row r="53" spans="1:43" ht="17.649999999999999" hidden="1" customHeight="1" thickBot="1" x14ac:dyDescent="0.3">
      <c r="A53" s="1368"/>
      <c r="B53" s="1368"/>
      <c r="C53" s="1385"/>
      <c r="D53" s="1159"/>
      <c r="E53" s="1533"/>
      <c r="F53" s="1347"/>
      <c r="G53" s="983"/>
      <c r="H53" s="983"/>
      <c r="I53" s="981"/>
      <c r="J53" s="1061"/>
      <c r="K53" s="898"/>
      <c r="L53" s="1061"/>
      <c r="M53" s="64"/>
      <c r="N53" s="64"/>
      <c r="O53" s="24"/>
      <c r="P53" s="149"/>
      <c r="Q53" s="42"/>
      <c r="R53" s="96"/>
      <c r="S53" s="64"/>
      <c r="T53" s="64"/>
      <c r="U53" s="64"/>
      <c r="V53" s="145"/>
      <c r="W53" s="318"/>
      <c r="X53" s="96"/>
      <c r="Y53" s="1684"/>
      <c r="Z53" s="1368"/>
      <c r="AA53" s="1368"/>
      <c r="AB53" s="336"/>
      <c r="AC53" s="21" t="s">
        <v>3</v>
      </c>
      <c r="AD53" s="1268"/>
      <c r="AE53" s="9"/>
      <c r="AF53" s="9"/>
      <c r="AG53" s="9"/>
      <c r="AH53" s="9"/>
      <c r="AI53" s="9"/>
      <c r="AJ53" s="9"/>
      <c r="AK53" s="314"/>
      <c r="AL53" s="51"/>
      <c r="AM53" s="51"/>
      <c r="AN53" s="51"/>
      <c r="AO53" s="51"/>
      <c r="AP53" s="51"/>
      <c r="AQ53" s="8"/>
    </row>
    <row r="54" spans="1:43" s="23" customFormat="1" ht="23.1" hidden="1" customHeight="1" x14ac:dyDescent="0.25">
      <c r="A54" s="11">
        <v>9</v>
      </c>
      <c r="B54" s="887">
        <v>1960135</v>
      </c>
      <c r="C54" s="989" t="s">
        <v>140</v>
      </c>
      <c r="D54" s="1038" t="s">
        <v>162</v>
      </c>
      <c r="E54" s="1068">
        <f>0.88+8.049</f>
        <v>8.9290000000000003</v>
      </c>
      <c r="F54" s="1001">
        <f>6330+58376</f>
        <v>64706</v>
      </c>
      <c r="G54" s="983"/>
      <c r="H54" s="983"/>
      <c r="I54" s="981"/>
      <c r="J54" s="1061"/>
      <c r="K54" s="898"/>
      <c r="L54" s="1061"/>
      <c r="M54" s="64"/>
      <c r="N54" s="64"/>
      <c r="O54" s="24"/>
      <c r="P54" s="149"/>
      <c r="Q54" s="42"/>
      <c r="R54" s="96"/>
      <c r="S54" s="68"/>
      <c r="T54" s="68"/>
      <c r="U54" s="68"/>
      <c r="V54" s="74"/>
      <c r="W54" s="9"/>
      <c r="X54" s="74"/>
      <c r="Y54" s="136"/>
      <c r="Z54" s="68"/>
      <c r="AA54" s="68"/>
      <c r="AB54" s="74"/>
      <c r="AC54" s="9"/>
      <c r="AD54" s="362"/>
      <c r="AE54" s="9"/>
      <c r="AF54" s="9"/>
      <c r="AG54" s="9"/>
      <c r="AH54" s="9"/>
      <c r="AI54" s="9"/>
      <c r="AJ54" s="9"/>
      <c r="AK54" s="178"/>
      <c r="AL54" s="9"/>
      <c r="AM54" s="9"/>
      <c r="AN54" s="9"/>
      <c r="AO54" s="9"/>
      <c r="AP54" s="9"/>
      <c r="AQ54" s="22"/>
    </row>
    <row r="55" spans="1:43" s="23" customFormat="1" ht="16.149999999999999" hidden="1" customHeight="1" thickBot="1" x14ac:dyDescent="0.3">
      <c r="A55" s="156"/>
      <c r="B55" s="1045"/>
      <c r="C55" s="1004"/>
      <c r="D55" s="1043"/>
      <c r="E55" s="1040"/>
      <c r="F55" s="1060"/>
      <c r="G55" s="1081"/>
      <c r="H55" s="1081"/>
      <c r="I55" s="977"/>
      <c r="J55" s="971"/>
      <c r="K55" s="885"/>
      <c r="L55" s="971"/>
      <c r="M55" s="1140"/>
      <c r="N55" s="1140"/>
      <c r="O55" s="1118"/>
      <c r="P55" s="147"/>
      <c r="Q55" s="1109"/>
      <c r="R55" s="632"/>
      <c r="S55" s="68"/>
      <c r="T55" s="68"/>
      <c r="U55" s="68"/>
      <c r="V55" s="74"/>
      <c r="W55" s="9"/>
      <c r="X55" s="74"/>
      <c r="Y55" s="230"/>
      <c r="Z55" s="189"/>
      <c r="AA55" s="189"/>
      <c r="AB55" s="234"/>
      <c r="AC55" s="1045"/>
      <c r="AD55" s="371"/>
      <c r="AE55" s="9"/>
      <c r="AF55" s="9"/>
      <c r="AG55" s="9"/>
      <c r="AH55" s="9"/>
      <c r="AI55" s="9"/>
      <c r="AJ55" s="9"/>
      <c r="AK55" s="178"/>
      <c r="AL55" s="9"/>
      <c r="AM55" s="9"/>
      <c r="AN55" s="9"/>
      <c r="AO55" s="9"/>
      <c r="AP55" s="9"/>
      <c r="AQ55" s="22"/>
    </row>
    <row r="56" spans="1:43" ht="25.15" hidden="1" customHeight="1" x14ac:dyDescent="0.25">
      <c r="A56" s="1235">
        <v>7</v>
      </c>
      <c r="B56" s="1289">
        <v>1960288</v>
      </c>
      <c r="C56" s="1193" t="s">
        <v>57</v>
      </c>
      <c r="D56" s="1273" t="s">
        <v>203</v>
      </c>
      <c r="E56" s="1346">
        <v>8.56</v>
      </c>
      <c r="F56" s="1236">
        <v>56394</v>
      </c>
      <c r="G56" s="982"/>
      <c r="H56" s="982"/>
      <c r="I56" s="1052"/>
      <c r="J56" s="526"/>
      <c r="K56" s="886"/>
      <c r="L56" s="526"/>
      <c r="M56" s="221"/>
      <c r="N56" s="221"/>
      <c r="O56" s="222"/>
      <c r="P56" s="211"/>
      <c r="Q56" s="182"/>
      <c r="R56" s="633"/>
      <c r="S56" s="64"/>
      <c r="T56" s="64"/>
      <c r="U56" s="206"/>
      <c r="V56" s="84"/>
      <c r="W56" s="318"/>
      <c r="X56" s="96"/>
      <c r="Y56" s="64"/>
      <c r="Z56" s="64"/>
      <c r="AA56" s="206"/>
      <c r="AB56" s="84"/>
      <c r="AC56" s="318"/>
      <c r="AD56" s="535"/>
      <c r="AE56" s="64"/>
      <c r="AF56" s="64"/>
      <c r="AG56" s="206"/>
      <c r="AH56" s="1042"/>
      <c r="AI56" s="1114"/>
      <c r="AJ56" s="96"/>
      <c r="AK56" s="1969" t="s">
        <v>1031</v>
      </c>
      <c r="AL56" s="1962" t="s">
        <v>1035</v>
      </c>
      <c r="AM56" s="1940" t="s">
        <v>7</v>
      </c>
      <c r="AN56" s="746"/>
      <c r="AO56" s="747" t="s">
        <v>2</v>
      </c>
      <c r="AP56" s="1971"/>
      <c r="AQ56" s="8"/>
    </row>
    <row r="57" spans="1:43" ht="22.15" hidden="1" customHeight="1" thickBot="1" x14ac:dyDescent="0.3">
      <c r="A57" s="1224"/>
      <c r="B57" s="1234"/>
      <c r="C57" s="1194"/>
      <c r="D57" s="1274"/>
      <c r="E57" s="1339"/>
      <c r="F57" s="1237"/>
      <c r="G57" s="984"/>
      <c r="H57" s="984"/>
      <c r="I57" s="1102"/>
      <c r="J57" s="174"/>
      <c r="K57" s="890"/>
      <c r="L57" s="174"/>
      <c r="M57" s="223"/>
      <c r="N57" s="223"/>
      <c r="O57" s="224"/>
      <c r="P57" s="194"/>
      <c r="Q57" s="177"/>
      <c r="R57" s="634"/>
      <c r="S57" s="64"/>
      <c r="T57" s="64"/>
      <c r="U57" s="206"/>
      <c r="V57" s="145"/>
      <c r="W57" s="318"/>
      <c r="X57" s="96"/>
      <c r="Y57" s="64"/>
      <c r="Z57" s="64"/>
      <c r="AA57" s="206"/>
      <c r="AB57" s="145"/>
      <c r="AC57" s="318"/>
      <c r="AD57" s="535"/>
      <c r="AE57" s="64"/>
      <c r="AF57" s="64"/>
      <c r="AG57" s="206"/>
      <c r="AH57" s="1014"/>
      <c r="AI57" s="1114"/>
      <c r="AJ57" s="96"/>
      <c r="AK57" s="1970"/>
      <c r="AL57" s="1963"/>
      <c r="AM57" s="1941"/>
      <c r="AN57" s="748"/>
      <c r="AO57" s="749" t="s">
        <v>3</v>
      </c>
      <c r="AP57" s="1972"/>
      <c r="AQ57" s="8"/>
    </row>
    <row r="58" spans="1:43" ht="30.2" hidden="1" customHeight="1" x14ac:dyDescent="0.25">
      <c r="A58" s="1253">
        <v>11</v>
      </c>
      <c r="B58" s="1253">
        <v>1960288</v>
      </c>
      <c r="C58" s="1383" t="s">
        <v>93</v>
      </c>
      <c r="D58" s="1336" t="s">
        <v>212</v>
      </c>
      <c r="E58" s="1334">
        <v>7.24</v>
      </c>
      <c r="F58" s="1369">
        <v>72953</v>
      </c>
      <c r="G58" s="1082"/>
      <c r="H58" s="1082"/>
      <c r="I58" s="981"/>
      <c r="J58" s="972"/>
      <c r="K58" s="898"/>
      <c r="L58" s="972"/>
      <c r="M58" s="1141"/>
      <c r="N58" s="1141"/>
      <c r="O58" s="1119"/>
      <c r="P58" s="148"/>
      <c r="Q58" s="1110"/>
      <c r="R58" s="631"/>
      <c r="S58" s="64"/>
      <c r="T58" s="64"/>
      <c r="U58" s="64"/>
      <c r="V58" s="145"/>
      <c r="W58" s="318"/>
      <c r="X58" s="96"/>
      <c r="Y58" s="1372" t="s">
        <v>1031</v>
      </c>
      <c r="Z58" s="1328" t="s">
        <v>1036</v>
      </c>
      <c r="AA58" s="1328" t="s">
        <v>47</v>
      </c>
      <c r="AB58" s="656"/>
      <c r="AC58" s="21" t="s">
        <v>2</v>
      </c>
      <c r="AD58" s="1268"/>
      <c r="AE58" s="9"/>
      <c r="AF58" s="9"/>
      <c r="AG58" s="9"/>
      <c r="AH58" s="139"/>
      <c r="AI58" s="139"/>
      <c r="AJ58" s="9"/>
      <c r="AK58" s="314"/>
      <c r="AL58" s="51"/>
      <c r="AM58" s="51"/>
      <c r="AN58" s="66"/>
      <c r="AO58" s="66"/>
      <c r="AP58" s="51"/>
      <c r="AQ58" s="8"/>
    </row>
    <row r="59" spans="1:43" ht="16.149999999999999" hidden="1" customHeight="1" thickBot="1" x14ac:dyDescent="0.3">
      <c r="A59" s="1255"/>
      <c r="B59" s="1255"/>
      <c r="C59" s="1384"/>
      <c r="D59" s="1337"/>
      <c r="E59" s="1335"/>
      <c r="F59" s="1370"/>
      <c r="G59" s="1081"/>
      <c r="H59" s="1081"/>
      <c r="I59" s="977"/>
      <c r="J59" s="971"/>
      <c r="K59" s="885"/>
      <c r="L59" s="971"/>
      <c r="M59" s="1140"/>
      <c r="N59" s="1140"/>
      <c r="O59" s="1118"/>
      <c r="P59" s="147"/>
      <c r="Q59" s="1109"/>
      <c r="R59" s="632"/>
      <c r="S59" s="64"/>
      <c r="T59" s="64"/>
      <c r="U59" s="64"/>
      <c r="V59" s="145"/>
      <c r="W59" s="318"/>
      <c r="X59" s="96"/>
      <c r="Y59" s="1372"/>
      <c r="Z59" s="1328"/>
      <c r="AA59" s="1328"/>
      <c r="AB59" s="657">
        <f>F58</f>
        <v>72953</v>
      </c>
      <c r="AC59" s="164" t="s">
        <v>3</v>
      </c>
      <c r="AD59" s="1266"/>
      <c r="AE59" s="9"/>
      <c r="AF59" s="9"/>
      <c r="AG59" s="9"/>
      <c r="AH59" s="139"/>
      <c r="AI59" s="139"/>
      <c r="AJ59" s="9"/>
      <c r="AK59" s="314"/>
      <c r="AL59" s="51"/>
      <c r="AM59" s="51"/>
      <c r="AN59" s="66"/>
      <c r="AO59" s="66"/>
      <c r="AP59" s="51"/>
      <c r="AQ59" s="8"/>
    </row>
    <row r="60" spans="1:43" ht="23.1" hidden="1" customHeight="1" x14ac:dyDescent="0.25">
      <c r="A60" s="1235">
        <v>8</v>
      </c>
      <c r="B60" s="1289">
        <v>1960149</v>
      </c>
      <c r="C60" s="1193" t="s">
        <v>156</v>
      </c>
      <c r="D60" s="1273" t="s">
        <v>216</v>
      </c>
      <c r="E60" s="1346">
        <v>17.91</v>
      </c>
      <c r="F60" s="1236">
        <v>128782</v>
      </c>
      <c r="G60" s="982"/>
      <c r="H60" s="982"/>
      <c r="I60" s="1052"/>
      <c r="J60" s="526"/>
      <c r="K60" s="886"/>
      <c r="L60" s="526"/>
      <c r="M60" s="214"/>
      <c r="N60" s="214"/>
      <c r="O60" s="215"/>
      <c r="P60" s="216"/>
      <c r="Q60" s="214"/>
      <c r="R60" s="526"/>
      <c r="S60" s="64"/>
      <c r="T60" s="64"/>
      <c r="U60" s="206"/>
      <c r="V60" s="84"/>
      <c r="W60" s="318"/>
      <c r="X60" s="96"/>
      <c r="Y60" s="64"/>
      <c r="Z60" s="64"/>
      <c r="AA60" s="206"/>
      <c r="AB60" s="84"/>
      <c r="AC60" s="318"/>
      <c r="AD60" s="96"/>
      <c r="AE60" s="64"/>
      <c r="AF60" s="64"/>
      <c r="AG60" s="206"/>
      <c r="AH60" s="930"/>
      <c r="AI60" s="882"/>
      <c r="AJ60" s="96"/>
      <c r="AK60" s="1969" t="s">
        <v>1031</v>
      </c>
      <c r="AL60" s="1962" t="s">
        <v>1257</v>
      </c>
      <c r="AM60" s="1940" t="s">
        <v>7</v>
      </c>
      <c r="AN60" s="796"/>
      <c r="AO60" s="745" t="s">
        <v>2</v>
      </c>
      <c r="AP60" s="1973"/>
      <c r="AQ60" s="8"/>
    </row>
    <row r="61" spans="1:43" ht="19.350000000000001" hidden="1" customHeight="1" thickBot="1" x14ac:dyDescent="0.3">
      <c r="A61" s="1224"/>
      <c r="B61" s="1234"/>
      <c r="C61" s="1194"/>
      <c r="D61" s="1274"/>
      <c r="E61" s="1339"/>
      <c r="F61" s="1237"/>
      <c r="G61" s="984"/>
      <c r="H61" s="984"/>
      <c r="I61" s="1102"/>
      <c r="J61" s="174"/>
      <c r="K61" s="890"/>
      <c r="L61" s="174"/>
      <c r="M61" s="219"/>
      <c r="N61" s="219"/>
      <c r="O61" s="220"/>
      <c r="P61" s="203"/>
      <c r="Q61" s="219"/>
      <c r="R61" s="174"/>
      <c r="S61" s="64"/>
      <c r="T61" s="64"/>
      <c r="U61" s="206"/>
      <c r="V61" s="145"/>
      <c r="W61" s="318"/>
      <c r="X61" s="96"/>
      <c r="Y61" s="64"/>
      <c r="Z61" s="64"/>
      <c r="AA61" s="206"/>
      <c r="AB61" s="145"/>
      <c r="AC61" s="318"/>
      <c r="AD61" s="96"/>
      <c r="AE61" s="64"/>
      <c r="AF61" s="64"/>
      <c r="AG61" s="206"/>
      <c r="AH61" s="911"/>
      <c r="AI61" s="882"/>
      <c r="AJ61" s="96"/>
      <c r="AK61" s="1970"/>
      <c r="AL61" s="1963"/>
      <c r="AM61" s="1941"/>
      <c r="AN61" s="797"/>
      <c r="AO61" s="883" t="s">
        <v>3</v>
      </c>
      <c r="AP61" s="1974"/>
      <c r="AQ61" s="8"/>
    </row>
    <row r="62" spans="1:43" s="23" customFormat="1" ht="14.85" hidden="1" customHeight="1" x14ac:dyDescent="0.25">
      <c r="A62" s="61">
        <v>13</v>
      </c>
      <c r="B62" s="898">
        <v>1960045</v>
      </c>
      <c r="C62" s="996" t="s">
        <v>328</v>
      </c>
      <c r="D62" s="1038" t="s">
        <v>610</v>
      </c>
      <c r="E62" s="934">
        <v>10</v>
      </c>
      <c r="F62" s="954">
        <v>106578</v>
      </c>
      <c r="G62" s="1082"/>
      <c r="H62" s="1082"/>
      <c r="I62" s="981"/>
      <c r="J62" s="972"/>
      <c r="K62" s="898"/>
      <c r="L62" s="972"/>
      <c r="M62" s="1141"/>
      <c r="N62" s="1141"/>
      <c r="O62" s="1119"/>
      <c r="P62" s="617"/>
      <c r="Q62" s="1110"/>
      <c r="R62" s="670"/>
      <c r="S62" s="1368" t="s">
        <v>1043</v>
      </c>
      <c r="T62" s="1368" t="s">
        <v>1044</v>
      </c>
      <c r="U62" s="1368" t="s">
        <v>47</v>
      </c>
      <c r="V62" s="336"/>
      <c r="W62" s="21" t="s">
        <v>2</v>
      </c>
      <c r="X62" s="1857"/>
      <c r="Y62" s="1046"/>
      <c r="Z62" s="1046"/>
      <c r="AA62" s="1046"/>
      <c r="AB62" s="1046"/>
      <c r="AC62" s="1046"/>
      <c r="AD62" s="1046"/>
      <c r="AE62" s="1046"/>
      <c r="AF62" s="1046"/>
      <c r="AG62" s="1046"/>
      <c r="AH62" s="1046"/>
      <c r="AI62" s="1046"/>
      <c r="AJ62" s="1046"/>
      <c r="AK62" s="9"/>
      <c r="AL62" s="9"/>
      <c r="AM62" s="9"/>
      <c r="AN62" s="9"/>
      <c r="AO62" s="9"/>
      <c r="AP62" s="337"/>
      <c r="AQ62" s="22"/>
    </row>
    <row r="63" spans="1:43" s="23" customFormat="1" ht="14.85" hidden="1" customHeight="1" thickBot="1" x14ac:dyDescent="0.3">
      <c r="A63" s="156"/>
      <c r="B63" s="899"/>
      <c r="C63" s="1004"/>
      <c r="D63" s="1043"/>
      <c r="E63" s="935"/>
      <c r="F63" s="1060"/>
      <c r="G63" s="1081"/>
      <c r="H63" s="1081"/>
      <c r="I63" s="977"/>
      <c r="J63" s="971"/>
      <c r="K63" s="885"/>
      <c r="L63" s="971"/>
      <c r="M63" s="1140"/>
      <c r="N63" s="1140"/>
      <c r="O63" s="1118"/>
      <c r="P63" s="618"/>
      <c r="Q63" s="1109"/>
      <c r="R63" s="671"/>
      <c r="S63" s="1434"/>
      <c r="T63" s="1434"/>
      <c r="U63" s="1434"/>
      <c r="V63" s="338"/>
      <c r="W63" s="164" t="s">
        <v>3</v>
      </c>
      <c r="X63" s="1857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337"/>
      <c r="AQ63" s="22"/>
    </row>
    <row r="64" spans="1:43" ht="27" customHeight="1" x14ac:dyDescent="0.25">
      <c r="A64" s="1331">
        <v>8</v>
      </c>
      <c r="B64" s="1319">
        <v>1960191</v>
      </c>
      <c r="C64" s="1185" t="s">
        <v>389</v>
      </c>
      <c r="D64" s="1315" t="s">
        <v>692</v>
      </c>
      <c r="E64" s="1823">
        <v>1.63</v>
      </c>
      <c r="F64" s="1807">
        <v>9780</v>
      </c>
      <c r="G64" s="982"/>
      <c r="H64" s="982"/>
      <c r="I64" s="1052"/>
      <c r="J64" s="526"/>
      <c r="K64" s="886"/>
      <c r="L64" s="526"/>
      <c r="M64" s="1319" t="s">
        <v>1031</v>
      </c>
      <c r="N64" s="1319" t="s">
        <v>1038</v>
      </c>
      <c r="O64" s="1207" t="s">
        <v>7</v>
      </c>
      <c r="P64" s="1104">
        <v>1.63</v>
      </c>
      <c r="Q64" s="182" t="s">
        <v>2</v>
      </c>
      <c r="R64" s="1191">
        <f>22069.60336-R66</f>
        <v>21889.482360000002</v>
      </c>
      <c r="S64" s="317"/>
      <c r="T64" s="64"/>
      <c r="U64" s="206"/>
      <c r="V64" s="84"/>
      <c r="W64" s="318"/>
      <c r="X64" s="96"/>
      <c r="Y64" s="314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316"/>
      <c r="AQ64" s="8"/>
    </row>
    <row r="65" spans="1:43" ht="23.1" customHeight="1" x14ac:dyDescent="0.25">
      <c r="A65" s="1332"/>
      <c r="B65" s="1320"/>
      <c r="C65" s="1186"/>
      <c r="D65" s="1316"/>
      <c r="E65" s="1824"/>
      <c r="F65" s="1348"/>
      <c r="G65" s="983"/>
      <c r="H65" s="983"/>
      <c r="I65" s="1053"/>
      <c r="J65" s="1061"/>
      <c r="K65" s="887"/>
      <c r="L65" s="1061"/>
      <c r="M65" s="1320"/>
      <c r="N65" s="1320"/>
      <c r="O65" s="1157"/>
      <c r="P65" s="149">
        <v>10380</v>
      </c>
      <c r="Q65" s="42" t="s">
        <v>3</v>
      </c>
      <c r="R65" s="1192"/>
      <c r="S65" s="317"/>
      <c r="T65" s="64"/>
      <c r="U65" s="206"/>
      <c r="V65" s="145"/>
      <c r="W65" s="318"/>
      <c r="X65" s="96"/>
      <c r="Y65" s="314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316"/>
      <c r="AQ65" s="8"/>
    </row>
    <row r="66" spans="1:43" ht="23.1" customHeight="1" thickBot="1" x14ac:dyDescent="0.3">
      <c r="A66" s="1333"/>
      <c r="B66" s="1321"/>
      <c r="C66" s="1318"/>
      <c r="D66" s="1317"/>
      <c r="E66" s="1825"/>
      <c r="F66" s="1808"/>
      <c r="G66" s="984"/>
      <c r="H66" s="984"/>
      <c r="I66" s="1113"/>
      <c r="J66" s="174"/>
      <c r="K66" s="888"/>
      <c r="L66" s="174"/>
      <c r="M66" s="1321"/>
      <c r="N66" s="1321"/>
      <c r="O66" s="1113" t="s">
        <v>32</v>
      </c>
      <c r="P66" s="943">
        <v>24</v>
      </c>
      <c r="Q66" s="177" t="s">
        <v>10</v>
      </c>
      <c r="R66" s="737">
        <v>180.12100000000001</v>
      </c>
      <c r="S66" s="64"/>
      <c r="T66" s="64"/>
      <c r="U66" s="206"/>
      <c r="V66" s="145"/>
      <c r="W66" s="318"/>
      <c r="X66" s="96"/>
      <c r="Y66" s="314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316"/>
      <c r="AQ66" s="8"/>
    </row>
    <row r="67" spans="1:43" ht="19.350000000000001" hidden="1" customHeight="1" x14ac:dyDescent="0.25">
      <c r="A67" s="1223">
        <v>11</v>
      </c>
      <c r="B67" s="1447">
        <v>1959978</v>
      </c>
      <c r="C67" s="1809" t="s">
        <v>975</v>
      </c>
      <c r="D67" s="1323" t="s">
        <v>698</v>
      </c>
      <c r="E67" s="1900">
        <v>0.26</v>
      </c>
      <c r="F67" s="1858">
        <v>3511</v>
      </c>
      <c r="G67" s="1082"/>
      <c r="H67" s="1082"/>
      <c r="I67" s="981"/>
      <c r="J67" s="972"/>
      <c r="K67" s="898"/>
      <c r="L67" s="972"/>
      <c r="M67" s="1141"/>
      <c r="N67" s="1141"/>
      <c r="O67" s="151"/>
      <c r="P67" s="617"/>
      <c r="Q67" s="1110"/>
      <c r="R67" s="750"/>
      <c r="S67" s="64"/>
      <c r="T67" s="64"/>
      <c r="U67" s="206"/>
      <c r="V67" s="84"/>
      <c r="W67" s="318"/>
      <c r="X67" s="96"/>
      <c r="Y67" s="1875" t="s">
        <v>1031</v>
      </c>
      <c r="Z67" s="1877" t="s">
        <v>1037</v>
      </c>
      <c r="AA67" s="1869" t="s">
        <v>7</v>
      </c>
      <c r="AB67" s="641">
        <v>0.26</v>
      </c>
      <c r="AC67" s="642" t="s">
        <v>2</v>
      </c>
      <c r="AD67" s="1871">
        <f>3666+500</f>
        <v>4166</v>
      </c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316"/>
      <c r="AQ67" s="8"/>
    </row>
    <row r="68" spans="1:43" ht="23.85" hidden="1" customHeight="1" thickBot="1" x14ac:dyDescent="0.3">
      <c r="A68" s="1224"/>
      <c r="B68" s="1575"/>
      <c r="C68" s="1810"/>
      <c r="D68" s="1324"/>
      <c r="E68" s="1901"/>
      <c r="F68" s="1859"/>
      <c r="G68" s="984"/>
      <c r="H68" s="984"/>
      <c r="I68" s="574"/>
      <c r="J68" s="174"/>
      <c r="K68" s="993"/>
      <c r="L68" s="174"/>
      <c r="M68" s="223"/>
      <c r="N68" s="223"/>
      <c r="O68" s="226"/>
      <c r="P68" s="664"/>
      <c r="Q68" s="177"/>
      <c r="R68" s="751"/>
      <c r="S68" s="64"/>
      <c r="T68" s="64"/>
      <c r="U68" s="206"/>
      <c r="V68" s="145"/>
      <c r="W68" s="318"/>
      <c r="X68" s="96"/>
      <c r="Y68" s="1876"/>
      <c r="Z68" s="1878"/>
      <c r="AA68" s="1870"/>
      <c r="AB68" s="602">
        <v>1560</v>
      </c>
      <c r="AC68" s="643" t="s">
        <v>3</v>
      </c>
      <c r="AD68" s="1872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316"/>
      <c r="AQ68" s="8"/>
    </row>
    <row r="69" spans="1:43" ht="19.899999999999999" customHeight="1" x14ac:dyDescent="0.25">
      <c r="A69" s="1223">
        <v>9</v>
      </c>
      <c r="B69" s="1328">
        <v>1960319</v>
      </c>
      <c r="C69" s="1304" t="s">
        <v>977</v>
      </c>
      <c r="D69" s="1441" t="s">
        <v>41</v>
      </c>
      <c r="E69" s="1228">
        <v>10.741</v>
      </c>
      <c r="F69" s="1902">
        <v>67633</v>
      </c>
      <c r="G69" s="1394" t="s">
        <v>1048</v>
      </c>
      <c r="H69" s="1394" t="s">
        <v>1049</v>
      </c>
      <c r="I69" s="1402" t="s">
        <v>7</v>
      </c>
      <c r="J69" s="1078">
        <v>6.4409999999999998</v>
      </c>
      <c r="K69" s="944" t="s">
        <v>2</v>
      </c>
      <c r="L69" s="1408">
        <f>61945.966-1178.927-L71-L72</f>
        <v>60358.006000000001</v>
      </c>
      <c r="M69" s="227"/>
      <c r="N69" s="187"/>
      <c r="O69" s="228"/>
      <c r="P69" s="186"/>
      <c r="Q69" s="187"/>
      <c r="R69" s="752"/>
      <c r="S69" s="68"/>
      <c r="T69" s="68"/>
      <c r="U69" s="68"/>
      <c r="V69" s="74"/>
      <c r="W69" s="9"/>
      <c r="X69" s="74"/>
      <c r="Y69" s="314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316"/>
      <c r="AQ69" s="8"/>
    </row>
    <row r="70" spans="1:43" ht="15.4" customHeight="1" x14ac:dyDescent="0.25">
      <c r="A70" s="1223"/>
      <c r="B70" s="1328"/>
      <c r="C70" s="1304"/>
      <c r="D70" s="1441"/>
      <c r="E70" s="1228"/>
      <c r="F70" s="1902"/>
      <c r="G70" s="1394"/>
      <c r="H70" s="1394"/>
      <c r="I70" s="1226"/>
      <c r="J70" s="911">
        <v>39786.5</v>
      </c>
      <c r="K70" s="944" t="s">
        <v>3</v>
      </c>
      <c r="L70" s="1192"/>
      <c r="M70" s="136"/>
      <c r="N70" s="68"/>
      <c r="O70" s="65"/>
      <c r="P70" s="137"/>
      <c r="Q70" s="68"/>
      <c r="R70" s="1061"/>
      <c r="S70" s="68"/>
      <c r="T70" s="68"/>
      <c r="U70" s="68"/>
      <c r="V70" s="74"/>
      <c r="W70" s="9"/>
      <c r="X70" s="74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316"/>
      <c r="AQ70" s="8"/>
    </row>
    <row r="71" spans="1:43" ht="23.1" customHeight="1" x14ac:dyDescent="0.25">
      <c r="A71" s="1223"/>
      <c r="B71" s="1328"/>
      <c r="C71" s="1304"/>
      <c r="D71" s="1441"/>
      <c r="E71" s="1228"/>
      <c r="F71" s="1902"/>
      <c r="G71" s="1394"/>
      <c r="H71" s="1394"/>
      <c r="I71" s="976" t="s">
        <v>8</v>
      </c>
      <c r="J71" s="1078">
        <v>15.218</v>
      </c>
      <c r="K71" s="944" t="s">
        <v>2</v>
      </c>
      <c r="L71" s="923">
        <v>253.03700000000001</v>
      </c>
      <c r="M71" s="136"/>
      <c r="N71" s="68"/>
      <c r="O71" s="65"/>
      <c r="P71" s="137"/>
      <c r="Q71" s="68"/>
      <c r="R71" s="1061"/>
      <c r="S71" s="68"/>
      <c r="T71" s="68"/>
      <c r="U71" s="68"/>
      <c r="V71" s="74"/>
      <c r="W71" s="9"/>
      <c r="X71" s="74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316"/>
      <c r="AQ71" s="8"/>
    </row>
    <row r="72" spans="1:43" ht="23.1" customHeight="1" thickBot="1" x14ac:dyDescent="0.3">
      <c r="A72" s="1223"/>
      <c r="B72" s="1233"/>
      <c r="C72" s="1322"/>
      <c r="D72" s="1795"/>
      <c r="E72" s="1229"/>
      <c r="F72" s="1794"/>
      <c r="G72" s="1406"/>
      <c r="H72" s="1406"/>
      <c r="I72" s="976" t="s">
        <v>32</v>
      </c>
      <c r="J72" s="812">
        <v>22</v>
      </c>
      <c r="K72" s="939" t="s">
        <v>10</v>
      </c>
      <c r="L72" s="908">
        <v>155.99600000000001</v>
      </c>
      <c r="M72" s="230"/>
      <c r="N72" s="189"/>
      <c r="O72" s="231"/>
      <c r="P72" s="188"/>
      <c r="Q72" s="189"/>
      <c r="R72" s="971"/>
      <c r="S72" s="189"/>
      <c r="T72" s="189"/>
      <c r="U72" s="189"/>
      <c r="V72" s="234"/>
      <c r="W72" s="1045"/>
      <c r="X72" s="234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51"/>
      <c r="AL72" s="51"/>
      <c r="AM72" s="51"/>
      <c r="AN72" s="51"/>
      <c r="AO72" s="51"/>
      <c r="AP72" s="316"/>
      <c r="AQ72" s="8"/>
    </row>
    <row r="73" spans="1:43" ht="24.4" hidden="1" customHeight="1" x14ac:dyDescent="0.25">
      <c r="A73" s="1227">
        <v>9</v>
      </c>
      <c r="B73" s="1232">
        <v>1960057</v>
      </c>
      <c r="C73" s="1894" t="s">
        <v>393</v>
      </c>
      <c r="D73" s="1473" t="s">
        <v>702</v>
      </c>
      <c r="E73" s="1338">
        <v>1.3</v>
      </c>
      <c r="F73" s="1793">
        <v>6864</v>
      </c>
      <c r="G73" s="827"/>
      <c r="H73" s="827"/>
      <c r="I73" s="1052"/>
      <c r="J73" s="910"/>
      <c r="K73" s="881"/>
      <c r="L73" s="910"/>
      <c r="M73" s="221"/>
      <c r="N73" s="221"/>
      <c r="O73" s="222"/>
      <c r="P73" s="810"/>
      <c r="Q73" s="162"/>
      <c r="R73" s="633"/>
      <c r="S73" s="222"/>
      <c r="T73" s="222"/>
      <c r="U73" s="691"/>
      <c r="V73" s="1064"/>
      <c r="W73" s="881"/>
      <c r="X73" s="703"/>
      <c r="Y73" s="813"/>
      <c r="Z73" s="506"/>
      <c r="AA73" s="506"/>
      <c r="AB73" s="506"/>
      <c r="AC73" s="506"/>
      <c r="AD73" s="506"/>
      <c r="AE73" s="1938" t="s">
        <v>1031</v>
      </c>
      <c r="AF73" s="1938" t="s">
        <v>1045</v>
      </c>
      <c r="AG73" s="1940" t="s">
        <v>7</v>
      </c>
      <c r="AH73" s="742"/>
      <c r="AI73" s="745" t="s">
        <v>2</v>
      </c>
      <c r="AJ73" s="1942">
        <f>AH73*14100</f>
        <v>0</v>
      </c>
      <c r="AK73" s="51"/>
      <c r="AL73" s="51"/>
      <c r="AM73" s="51"/>
      <c r="AN73" s="51"/>
      <c r="AO73" s="51"/>
      <c r="AP73" s="316"/>
      <c r="AQ73" s="8"/>
    </row>
    <row r="74" spans="1:43" ht="27" hidden="1" customHeight="1" thickBot="1" x14ac:dyDescent="0.3">
      <c r="A74" s="1224"/>
      <c r="B74" s="1234"/>
      <c r="C74" s="1895"/>
      <c r="D74" s="1274"/>
      <c r="E74" s="1339"/>
      <c r="F74" s="1237"/>
      <c r="G74" s="191"/>
      <c r="H74" s="191"/>
      <c r="I74" s="1113"/>
      <c r="J74" s="943"/>
      <c r="K74" s="889"/>
      <c r="L74" s="943"/>
      <c r="M74" s="223"/>
      <c r="N74" s="223"/>
      <c r="O74" s="224"/>
      <c r="P74" s="170"/>
      <c r="Q74" s="169"/>
      <c r="R74" s="634"/>
      <c r="S74" s="224"/>
      <c r="T74" s="224"/>
      <c r="U74" s="659"/>
      <c r="V74" s="970"/>
      <c r="W74" s="889"/>
      <c r="X74" s="704"/>
      <c r="Y74" s="814"/>
      <c r="Z74" s="815"/>
      <c r="AA74" s="815"/>
      <c r="AB74" s="815"/>
      <c r="AC74" s="815"/>
      <c r="AD74" s="815"/>
      <c r="AE74" s="1939"/>
      <c r="AF74" s="1939"/>
      <c r="AG74" s="1941"/>
      <c r="AH74" s="739"/>
      <c r="AI74" s="883" t="s">
        <v>3</v>
      </c>
      <c r="AJ74" s="1943"/>
      <c r="AK74" s="51"/>
      <c r="AL74" s="51"/>
      <c r="AM74" s="51"/>
      <c r="AN74" s="51"/>
      <c r="AO74" s="51"/>
      <c r="AP74" s="316"/>
      <c r="AQ74" s="8"/>
    </row>
    <row r="75" spans="1:43" ht="29.65" customHeight="1" x14ac:dyDescent="0.25">
      <c r="A75" s="1227">
        <v>10</v>
      </c>
      <c r="B75" s="1230">
        <v>1960135</v>
      </c>
      <c r="C75" s="1340" t="s">
        <v>140</v>
      </c>
      <c r="D75" s="1230" t="s">
        <v>162</v>
      </c>
      <c r="E75" s="1338">
        <f>0.88+8.049-0.01</f>
        <v>8.9190000000000005</v>
      </c>
      <c r="F75" s="1793">
        <v>54308</v>
      </c>
      <c r="G75" s="827"/>
      <c r="H75" s="827"/>
      <c r="I75" s="1052"/>
      <c r="J75" s="1064"/>
      <c r="K75" s="881"/>
      <c r="L75" s="917"/>
      <c r="M75" s="1230" t="s">
        <v>1031</v>
      </c>
      <c r="N75" s="1230" t="s">
        <v>1237</v>
      </c>
      <c r="O75" s="1207" t="s">
        <v>7</v>
      </c>
      <c r="P75" s="1064">
        <v>8.9190000000000005</v>
      </c>
      <c r="Q75" s="881" t="s">
        <v>2</v>
      </c>
      <c r="R75" s="1705">
        <f>115106.61439-R77-R78-R79</f>
        <v>113058.48338999999</v>
      </c>
      <c r="S75" s="1230" t="s">
        <v>1031</v>
      </c>
      <c r="T75" s="1230" t="s">
        <v>1237</v>
      </c>
      <c r="U75" s="1207" t="s">
        <v>1181</v>
      </c>
      <c r="V75" s="1064"/>
      <c r="W75" s="881" t="s">
        <v>2</v>
      </c>
      <c r="X75" s="1705">
        <v>2732.3357999999998</v>
      </c>
      <c r="Y75" s="1240" t="s">
        <v>1031</v>
      </c>
      <c r="Z75" s="1240" t="s">
        <v>1237</v>
      </c>
      <c r="AA75" s="1207" t="s">
        <v>1181</v>
      </c>
      <c r="AB75" s="1064"/>
      <c r="AC75" s="881" t="s">
        <v>2</v>
      </c>
      <c r="AD75" s="1445">
        <v>2909.9380000000001</v>
      </c>
      <c r="AE75" s="1240" t="s">
        <v>1031</v>
      </c>
      <c r="AF75" s="1240" t="s">
        <v>1237</v>
      </c>
      <c r="AG75" s="1207" t="s">
        <v>1181</v>
      </c>
      <c r="AH75" s="1064"/>
      <c r="AI75" s="881" t="s">
        <v>2</v>
      </c>
      <c r="AJ75" s="1191">
        <v>3104.904</v>
      </c>
      <c r="AK75" s="314"/>
      <c r="AL75" s="51"/>
      <c r="AM75" s="51"/>
      <c r="AN75" s="51"/>
      <c r="AO75" s="51"/>
      <c r="AP75" s="316"/>
      <c r="AQ75" s="1158"/>
    </row>
    <row r="76" spans="1:43" ht="29.65" customHeight="1" x14ac:dyDescent="0.25">
      <c r="A76" s="1223"/>
      <c r="B76" s="1151"/>
      <c r="C76" s="1322"/>
      <c r="D76" s="1151"/>
      <c r="E76" s="1229"/>
      <c r="F76" s="1794"/>
      <c r="G76" s="953"/>
      <c r="H76" s="953"/>
      <c r="I76" s="1053"/>
      <c r="J76" s="25"/>
      <c r="K76" s="887"/>
      <c r="L76" s="53"/>
      <c r="M76" s="1151"/>
      <c r="N76" s="1151"/>
      <c r="O76" s="1157"/>
      <c r="P76" s="969">
        <v>56560</v>
      </c>
      <c r="Q76" s="882" t="s">
        <v>3</v>
      </c>
      <c r="R76" s="1706"/>
      <c r="S76" s="1152"/>
      <c r="T76" s="1152"/>
      <c r="U76" s="1157"/>
      <c r="V76" s="969"/>
      <c r="W76" s="882" t="s">
        <v>3</v>
      </c>
      <c r="X76" s="1706"/>
      <c r="Y76" s="1218"/>
      <c r="Z76" s="1218"/>
      <c r="AA76" s="1157"/>
      <c r="AB76" s="969"/>
      <c r="AC76" s="882" t="s">
        <v>3</v>
      </c>
      <c r="AD76" s="1446"/>
      <c r="AE76" s="1218"/>
      <c r="AF76" s="1218"/>
      <c r="AG76" s="1157"/>
      <c r="AH76" s="969"/>
      <c r="AI76" s="882" t="s">
        <v>3</v>
      </c>
      <c r="AJ76" s="1192"/>
      <c r="AK76" s="314"/>
      <c r="AL76" s="51"/>
      <c r="AM76" s="51"/>
      <c r="AN76" s="51"/>
      <c r="AO76" s="51"/>
      <c r="AP76" s="316"/>
      <c r="AQ76" s="1159"/>
    </row>
    <row r="77" spans="1:43" ht="29.65" customHeight="1" x14ac:dyDescent="0.25">
      <c r="A77" s="1223"/>
      <c r="B77" s="1151"/>
      <c r="C77" s="1322"/>
      <c r="D77" s="1151"/>
      <c r="E77" s="1229"/>
      <c r="F77" s="1794"/>
      <c r="G77" s="953"/>
      <c r="H77" s="953"/>
      <c r="I77" s="1053"/>
      <c r="J77" s="25"/>
      <c r="K77" s="887"/>
      <c r="L77" s="53"/>
      <c r="M77" s="1151"/>
      <c r="N77" s="1151"/>
      <c r="O77" s="1053" t="s">
        <v>8</v>
      </c>
      <c r="P77" s="911">
        <v>23.881</v>
      </c>
      <c r="Q77" s="42" t="s">
        <v>2</v>
      </c>
      <c r="R77" s="911">
        <v>1113.258</v>
      </c>
      <c r="S77" s="882"/>
      <c r="T77" s="882"/>
      <c r="U77" s="877"/>
      <c r="V77" s="969"/>
      <c r="W77" s="882"/>
      <c r="X77" s="911"/>
      <c r="Y77" s="882"/>
      <c r="Z77" s="882"/>
      <c r="AA77" s="877"/>
      <c r="AB77" s="969"/>
      <c r="AC77" s="882"/>
      <c r="AD77" s="911"/>
      <c r="AE77" s="882"/>
      <c r="AF77" s="882"/>
      <c r="AG77" s="877"/>
      <c r="AH77" s="969"/>
      <c r="AI77" s="882"/>
      <c r="AJ77" s="923"/>
      <c r="AK77" s="314"/>
      <c r="AL77" s="51"/>
      <c r="AM77" s="51"/>
      <c r="AN77" s="51"/>
      <c r="AO77" s="51"/>
      <c r="AP77" s="316"/>
      <c r="AQ77" s="936"/>
    </row>
    <row r="78" spans="1:43" ht="29.65" customHeight="1" x14ac:dyDescent="0.25">
      <c r="A78" s="1223"/>
      <c r="B78" s="1151"/>
      <c r="C78" s="1322"/>
      <c r="D78" s="1151"/>
      <c r="E78" s="1229"/>
      <c r="F78" s="1794"/>
      <c r="G78" s="953"/>
      <c r="H78" s="953"/>
      <c r="I78" s="1053"/>
      <c r="J78" s="25"/>
      <c r="K78" s="887"/>
      <c r="L78" s="53"/>
      <c r="M78" s="1151"/>
      <c r="N78" s="1151"/>
      <c r="O78" s="1053" t="s">
        <v>32</v>
      </c>
      <c r="P78" s="911">
        <v>102</v>
      </c>
      <c r="Q78" s="42" t="s">
        <v>10</v>
      </c>
      <c r="R78" s="911">
        <v>678.86900000000003</v>
      </c>
      <c r="S78" s="882"/>
      <c r="T78" s="882"/>
      <c r="U78" s="877"/>
      <c r="V78" s="969"/>
      <c r="W78" s="882"/>
      <c r="X78" s="911"/>
      <c r="Y78" s="882"/>
      <c r="Z78" s="882"/>
      <c r="AA78" s="877"/>
      <c r="AB78" s="969"/>
      <c r="AC78" s="882"/>
      <c r="AD78" s="911"/>
      <c r="AE78" s="882"/>
      <c r="AF78" s="882"/>
      <c r="AG78" s="877"/>
      <c r="AH78" s="969"/>
      <c r="AI78" s="882"/>
      <c r="AJ78" s="923"/>
      <c r="AK78" s="314"/>
      <c r="AL78" s="51"/>
      <c r="AM78" s="51"/>
      <c r="AN78" s="51"/>
      <c r="AO78" s="51"/>
      <c r="AP78" s="316"/>
      <c r="AQ78" s="936"/>
    </row>
    <row r="79" spans="1:43" ht="29.65" customHeight="1" thickBot="1" x14ac:dyDescent="0.3">
      <c r="A79" s="1224"/>
      <c r="B79" s="1231"/>
      <c r="C79" s="1194"/>
      <c r="D79" s="1231"/>
      <c r="E79" s="1339"/>
      <c r="F79" s="1237"/>
      <c r="G79" s="191"/>
      <c r="H79" s="191"/>
      <c r="I79" s="1113"/>
      <c r="J79" s="237"/>
      <c r="K79" s="888"/>
      <c r="L79" s="238"/>
      <c r="M79" s="1231"/>
      <c r="N79" s="1231"/>
      <c r="O79" s="891" t="s">
        <v>1220</v>
      </c>
      <c r="P79" s="1051">
        <v>168</v>
      </c>
      <c r="Q79" s="177" t="s">
        <v>10</v>
      </c>
      <c r="R79" s="943">
        <v>256.00400000000002</v>
      </c>
      <c r="S79" s="889"/>
      <c r="T79" s="889"/>
      <c r="U79" s="891"/>
      <c r="V79" s="970"/>
      <c r="W79" s="889"/>
      <c r="X79" s="943"/>
      <c r="Y79" s="889"/>
      <c r="Z79" s="889"/>
      <c r="AA79" s="891"/>
      <c r="AB79" s="970"/>
      <c r="AC79" s="889"/>
      <c r="AD79" s="943"/>
      <c r="AE79" s="889"/>
      <c r="AF79" s="889"/>
      <c r="AG79" s="891"/>
      <c r="AH79" s="970"/>
      <c r="AI79" s="889"/>
      <c r="AJ79" s="861"/>
      <c r="AK79" s="314"/>
      <c r="AL79" s="51"/>
      <c r="AM79" s="51"/>
      <c r="AN79" s="51"/>
      <c r="AO79" s="51"/>
      <c r="AP79" s="316"/>
      <c r="AQ79" s="936"/>
    </row>
    <row r="80" spans="1:43" ht="19.350000000000001" customHeight="1" x14ac:dyDescent="0.25">
      <c r="A80" s="1227">
        <v>11</v>
      </c>
      <c r="B80" s="1232">
        <v>1960126</v>
      </c>
      <c r="C80" s="1340" t="s">
        <v>783</v>
      </c>
      <c r="D80" s="1473" t="s">
        <v>817</v>
      </c>
      <c r="E80" s="1338">
        <v>21</v>
      </c>
      <c r="F80" s="1793">
        <v>173694</v>
      </c>
      <c r="G80" s="1405" t="s">
        <v>1050</v>
      </c>
      <c r="H80" s="1405" t="s">
        <v>1051</v>
      </c>
      <c r="I80" s="1225" t="s">
        <v>7</v>
      </c>
      <c r="J80" s="929">
        <v>17.25</v>
      </c>
      <c r="K80" s="881" t="s">
        <v>2</v>
      </c>
      <c r="L80" s="1461">
        <f>146537.604-L82-L83</f>
        <v>145049.80399999997</v>
      </c>
      <c r="M80" s="591"/>
      <c r="N80" s="328"/>
      <c r="O80" s="828"/>
      <c r="P80" s="329"/>
      <c r="Q80" s="328"/>
      <c r="R80" s="526"/>
      <c r="S80" s="222"/>
      <c r="T80" s="222"/>
      <c r="U80" s="222"/>
      <c r="V80" s="222"/>
      <c r="W80" s="222"/>
      <c r="X80" s="329"/>
      <c r="Y80" s="506"/>
      <c r="Z80" s="506"/>
      <c r="AA80" s="506"/>
      <c r="AB80" s="506"/>
      <c r="AC80" s="506"/>
      <c r="AD80" s="506"/>
      <c r="AE80" s="1232" t="s">
        <v>1031</v>
      </c>
      <c r="AF80" s="1232" t="s">
        <v>1286</v>
      </c>
      <c r="AG80" s="1225" t="s">
        <v>7</v>
      </c>
      <c r="AH80" s="929">
        <v>8.44</v>
      </c>
      <c r="AI80" s="881" t="s">
        <v>2</v>
      </c>
      <c r="AJ80" s="1461">
        <f>AH80*20120+7.2</f>
        <v>169820</v>
      </c>
      <c r="AK80" s="314"/>
      <c r="AL80" s="51"/>
      <c r="AM80" s="51"/>
      <c r="AN80" s="51"/>
      <c r="AO80" s="51"/>
      <c r="AP80" s="316"/>
      <c r="AQ80" s="8"/>
    </row>
    <row r="81" spans="1:43" ht="20.65" customHeight="1" x14ac:dyDescent="0.25">
      <c r="A81" s="1223"/>
      <c r="B81" s="1233"/>
      <c r="C81" s="1322"/>
      <c r="D81" s="1795"/>
      <c r="E81" s="1229"/>
      <c r="F81" s="1794"/>
      <c r="G81" s="1406"/>
      <c r="H81" s="1406"/>
      <c r="I81" s="1226"/>
      <c r="J81" s="911">
        <v>122122.5</v>
      </c>
      <c r="K81" s="944" t="s">
        <v>3</v>
      </c>
      <c r="L81" s="1388"/>
      <c r="M81" s="178"/>
      <c r="N81" s="9"/>
      <c r="O81" s="139"/>
      <c r="P81" s="74"/>
      <c r="Q81" s="9"/>
      <c r="R81" s="1061"/>
      <c r="S81" s="9"/>
      <c r="T81" s="9"/>
      <c r="U81" s="9"/>
      <c r="V81" s="74"/>
      <c r="W81" s="9"/>
      <c r="X81" s="74"/>
      <c r="Y81" s="51"/>
      <c r="Z81" s="51"/>
      <c r="AA81" s="51"/>
      <c r="AB81" s="51"/>
      <c r="AC81" s="51"/>
      <c r="AD81" s="51"/>
      <c r="AE81" s="1368"/>
      <c r="AF81" s="1368"/>
      <c r="AG81" s="1226"/>
      <c r="AH81" s="911">
        <f>AH80*7000</f>
        <v>59080</v>
      </c>
      <c r="AI81" s="944" t="s">
        <v>3</v>
      </c>
      <c r="AJ81" s="1388"/>
      <c r="AK81" s="314"/>
      <c r="AL81" s="51"/>
      <c r="AM81" s="51"/>
      <c r="AN81" s="51"/>
      <c r="AO81" s="51"/>
      <c r="AP81" s="316"/>
      <c r="AQ81" s="8"/>
    </row>
    <row r="82" spans="1:43" ht="19.350000000000001" customHeight="1" x14ac:dyDescent="0.25">
      <c r="A82" s="1223"/>
      <c r="B82" s="1233"/>
      <c r="C82" s="1322"/>
      <c r="D82" s="1795"/>
      <c r="E82" s="1229"/>
      <c r="F82" s="1794"/>
      <c r="G82" s="1406"/>
      <c r="H82" s="1406"/>
      <c r="I82" s="976" t="s">
        <v>8</v>
      </c>
      <c r="J82" s="1078">
        <v>32.677</v>
      </c>
      <c r="K82" s="944" t="s">
        <v>2</v>
      </c>
      <c r="L82" s="923">
        <v>382.05099999999999</v>
      </c>
      <c r="M82" s="178"/>
      <c r="N82" s="9"/>
      <c r="O82" s="139"/>
      <c r="P82" s="74"/>
      <c r="Q82" s="9"/>
      <c r="R82" s="1061"/>
      <c r="S82" s="9"/>
      <c r="T82" s="9"/>
      <c r="U82" s="9"/>
      <c r="V82" s="74"/>
      <c r="W82" s="9"/>
      <c r="X82" s="74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829"/>
      <c r="AK82" s="314"/>
      <c r="AL82" s="51"/>
      <c r="AM82" s="51"/>
      <c r="AN82" s="51"/>
      <c r="AO82" s="51"/>
      <c r="AP82" s="316"/>
      <c r="AQ82" s="8"/>
    </row>
    <row r="83" spans="1:43" ht="22.5" customHeight="1" thickBot="1" x14ac:dyDescent="0.3">
      <c r="A83" s="1224"/>
      <c r="B83" s="1234"/>
      <c r="C83" s="1194"/>
      <c r="D83" s="1274"/>
      <c r="E83" s="1339"/>
      <c r="F83" s="1237"/>
      <c r="G83" s="1407"/>
      <c r="H83" s="1407"/>
      <c r="I83" s="1113" t="s">
        <v>32</v>
      </c>
      <c r="J83" s="830">
        <v>174</v>
      </c>
      <c r="K83" s="909" t="s">
        <v>10</v>
      </c>
      <c r="L83" s="861">
        <v>1105.749</v>
      </c>
      <c r="M83" s="831"/>
      <c r="N83" s="331"/>
      <c r="O83" s="832"/>
      <c r="P83" s="818"/>
      <c r="Q83" s="331"/>
      <c r="R83" s="174"/>
      <c r="S83" s="331"/>
      <c r="T83" s="331"/>
      <c r="U83" s="331"/>
      <c r="V83" s="818"/>
      <c r="W83" s="331"/>
      <c r="X83" s="818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25"/>
      <c r="AK83" s="314"/>
      <c r="AL83" s="51"/>
      <c r="AM83" s="51"/>
      <c r="AN83" s="51"/>
      <c r="AO83" s="51"/>
      <c r="AP83" s="316"/>
      <c r="AQ83" s="8"/>
    </row>
    <row r="84" spans="1:43" ht="21.2" customHeight="1" x14ac:dyDescent="0.25">
      <c r="A84" s="1368">
        <v>12</v>
      </c>
      <c r="B84" s="1368">
        <v>1960452</v>
      </c>
      <c r="C84" s="1257" t="s">
        <v>785</v>
      </c>
      <c r="D84" s="1159" t="s">
        <v>44</v>
      </c>
      <c r="E84" s="1898">
        <v>20.181999999999999</v>
      </c>
      <c r="F84" s="1347">
        <v>159209</v>
      </c>
      <c r="G84" s="1860" t="s">
        <v>1052</v>
      </c>
      <c r="H84" s="1860" t="s">
        <v>1053</v>
      </c>
      <c r="I84" s="1226" t="s">
        <v>7</v>
      </c>
      <c r="J84" s="1078">
        <v>8.2200000000000006</v>
      </c>
      <c r="K84" s="944" t="s">
        <v>2</v>
      </c>
      <c r="L84" s="1707">
        <f>60526.073-3482.405-L86</f>
        <v>56438.407999999996</v>
      </c>
      <c r="M84" s="1046"/>
      <c r="N84" s="1046"/>
      <c r="O84" s="200"/>
      <c r="P84" s="232"/>
      <c r="Q84" s="1046"/>
      <c r="R84" s="972"/>
      <c r="S84" s="1046"/>
      <c r="T84" s="1046"/>
      <c r="U84" s="1046"/>
      <c r="V84" s="232"/>
      <c r="W84" s="1046"/>
      <c r="X84" s="232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51"/>
      <c r="AL84" s="51"/>
      <c r="AM84" s="51"/>
      <c r="AN84" s="51"/>
      <c r="AO84" s="51"/>
      <c r="AP84" s="316"/>
      <c r="AQ84" s="8"/>
    </row>
    <row r="85" spans="1:43" ht="23.25" customHeight="1" x14ac:dyDescent="0.25">
      <c r="A85" s="1320"/>
      <c r="B85" s="1320"/>
      <c r="C85" s="1186"/>
      <c r="D85" s="1316"/>
      <c r="E85" s="1824"/>
      <c r="F85" s="1348"/>
      <c r="G85" s="1861"/>
      <c r="H85" s="1861"/>
      <c r="I85" s="1157"/>
      <c r="J85" s="911">
        <v>48387</v>
      </c>
      <c r="K85" s="882" t="s">
        <v>3</v>
      </c>
      <c r="L85" s="1706"/>
      <c r="M85" s="9"/>
      <c r="N85" s="9"/>
      <c r="O85" s="139"/>
      <c r="P85" s="74"/>
      <c r="Q85" s="9"/>
      <c r="R85" s="1061"/>
      <c r="S85" s="9"/>
      <c r="T85" s="9"/>
      <c r="U85" s="9"/>
      <c r="V85" s="74"/>
      <c r="W85" s="9"/>
      <c r="X85" s="74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316"/>
      <c r="AQ85" s="8"/>
    </row>
    <row r="86" spans="1:43" ht="32.25" customHeight="1" thickBot="1" x14ac:dyDescent="0.3">
      <c r="A86" s="1434"/>
      <c r="B86" s="1434"/>
      <c r="C86" s="1490"/>
      <c r="D86" s="1158"/>
      <c r="E86" s="1899"/>
      <c r="F86" s="1349"/>
      <c r="G86" s="1862"/>
      <c r="H86" s="1862"/>
      <c r="I86" s="880" t="s">
        <v>32</v>
      </c>
      <c r="J86" s="1075">
        <v>57</v>
      </c>
      <c r="K86" s="1049" t="s">
        <v>10</v>
      </c>
      <c r="L86" s="1087">
        <v>605.26</v>
      </c>
      <c r="M86" s="1045"/>
      <c r="N86" s="1045"/>
      <c r="O86" s="199"/>
      <c r="P86" s="234"/>
      <c r="Q86" s="1045"/>
      <c r="R86" s="971"/>
      <c r="S86" s="1045"/>
      <c r="T86" s="1045"/>
      <c r="U86" s="1045"/>
      <c r="V86" s="234"/>
      <c r="W86" s="1045"/>
      <c r="X86" s="234"/>
      <c r="Y86" s="117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316"/>
      <c r="AQ86" s="8"/>
    </row>
    <row r="87" spans="1:43" s="7" customFormat="1" ht="23.85" customHeight="1" x14ac:dyDescent="0.25">
      <c r="A87" s="1235">
        <v>13</v>
      </c>
      <c r="B87" s="1382">
        <v>1960077</v>
      </c>
      <c r="C87" s="1353" t="s">
        <v>1205</v>
      </c>
      <c r="D87" s="1685" t="s">
        <v>1208</v>
      </c>
      <c r="E87" s="1342">
        <v>11.85</v>
      </c>
      <c r="F87" s="1885">
        <v>102162</v>
      </c>
      <c r="G87" s="495"/>
      <c r="H87" s="495"/>
      <c r="I87" s="1052"/>
      <c r="J87" s="900"/>
      <c r="K87" s="881"/>
      <c r="L87" s="910"/>
      <c r="M87" s="1518" t="s">
        <v>1031</v>
      </c>
      <c r="N87" s="1382" t="s">
        <v>1215</v>
      </c>
      <c r="O87" s="1207" t="s">
        <v>7</v>
      </c>
      <c r="P87" s="167">
        <v>11.85</v>
      </c>
      <c r="Q87" s="881" t="s">
        <v>2</v>
      </c>
      <c r="R87" s="1191">
        <f>178052.4801-R89-R90</f>
        <v>177484.16509999998</v>
      </c>
      <c r="S87" s="136"/>
      <c r="T87" s="68"/>
      <c r="U87" s="68"/>
      <c r="V87" s="137"/>
      <c r="W87" s="68"/>
      <c r="X87" s="137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496"/>
      <c r="AQ87" s="108"/>
    </row>
    <row r="88" spans="1:43" s="7" customFormat="1" ht="18.600000000000001" customHeight="1" x14ac:dyDescent="0.25">
      <c r="A88" s="1223"/>
      <c r="B88" s="1180"/>
      <c r="C88" s="1304"/>
      <c r="D88" s="1328"/>
      <c r="E88" s="1341"/>
      <c r="F88" s="1330"/>
      <c r="G88" s="497"/>
      <c r="H88" s="497"/>
      <c r="I88" s="976"/>
      <c r="J88" s="1075"/>
      <c r="K88" s="1049"/>
      <c r="L88" s="1087"/>
      <c r="M88" s="1623"/>
      <c r="N88" s="1180"/>
      <c r="O88" s="1691"/>
      <c r="P88" s="911">
        <v>73818</v>
      </c>
      <c r="Q88" s="1049" t="s">
        <v>3</v>
      </c>
      <c r="R88" s="1192"/>
      <c r="S88" s="230"/>
      <c r="T88" s="189"/>
      <c r="U88" s="189"/>
      <c r="V88" s="137"/>
      <c r="W88" s="68"/>
      <c r="X88" s="137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496"/>
      <c r="AQ88" s="108"/>
    </row>
    <row r="89" spans="1:43" s="7" customFormat="1" ht="18.600000000000001" customHeight="1" x14ac:dyDescent="0.25">
      <c r="A89" s="1223"/>
      <c r="B89" s="1180"/>
      <c r="C89" s="1304"/>
      <c r="D89" s="1328"/>
      <c r="E89" s="1341"/>
      <c r="F89" s="1330"/>
      <c r="G89" s="497"/>
      <c r="H89" s="497"/>
      <c r="I89" s="976"/>
      <c r="J89" s="1075"/>
      <c r="K89" s="1049"/>
      <c r="L89" s="1087"/>
      <c r="M89" s="1623"/>
      <c r="N89" s="1180"/>
      <c r="O89" s="1053" t="s">
        <v>8</v>
      </c>
      <c r="P89" s="911">
        <v>11.85</v>
      </c>
      <c r="Q89" s="42" t="s">
        <v>2</v>
      </c>
      <c r="R89" s="923">
        <v>113.869</v>
      </c>
      <c r="S89" s="230"/>
      <c r="T89" s="189"/>
      <c r="U89" s="189"/>
      <c r="V89" s="186"/>
      <c r="W89" s="68"/>
      <c r="X89" s="186"/>
      <c r="Y89" s="105"/>
      <c r="Z89" s="105"/>
      <c r="AA89" s="105"/>
      <c r="AB89" s="498"/>
      <c r="AC89" s="105"/>
      <c r="AD89" s="498"/>
      <c r="AE89" s="105"/>
      <c r="AF89" s="105"/>
      <c r="AG89" s="105"/>
      <c r="AH89" s="498"/>
      <c r="AI89" s="105"/>
      <c r="AJ89" s="498"/>
      <c r="AK89" s="105"/>
      <c r="AL89" s="105"/>
      <c r="AM89" s="105"/>
      <c r="AN89" s="105"/>
      <c r="AO89" s="105"/>
      <c r="AP89" s="496"/>
      <c r="AQ89" s="108"/>
    </row>
    <row r="90" spans="1:43" s="7" customFormat="1" ht="37.5" customHeight="1" thickBot="1" x14ac:dyDescent="0.3">
      <c r="A90" s="1223"/>
      <c r="B90" s="1180"/>
      <c r="C90" s="1304"/>
      <c r="D90" s="1328"/>
      <c r="E90" s="1341"/>
      <c r="F90" s="1330"/>
      <c r="G90" s="497"/>
      <c r="H90" s="497"/>
      <c r="I90" s="976"/>
      <c r="J90" s="1075"/>
      <c r="K90" s="1049"/>
      <c r="L90" s="1087"/>
      <c r="M90" s="1623"/>
      <c r="N90" s="1180"/>
      <c r="O90" s="880" t="s">
        <v>32</v>
      </c>
      <c r="P90" s="1087">
        <v>61</v>
      </c>
      <c r="Q90" s="1109" t="s">
        <v>10</v>
      </c>
      <c r="R90" s="924">
        <v>454.44600000000003</v>
      </c>
      <c r="S90" s="230"/>
      <c r="T90" s="189"/>
      <c r="U90" s="189"/>
      <c r="V90" s="499"/>
      <c r="W90" s="189"/>
      <c r="X90" s="499"/>
      <c r="Y90" s="500"/>
      <c r="Z90" s="500"/>
      <c r="AA90" s="500"/>
      <c r="AB90" s="501"/>
      <c r="AC90" s="500"/>
      <c r="AD90" s="501"/>
      <c r="AE90" s="500"/>
      <c r="AF90" s="500"/>
      <c r="AG90" s="500"/>
      <c r="AH90" s="501"/>
      <c r="AI90" s="500"/>
      <c r="AJ90" s="501"/>
      <c r="AK90" s="105"/>
      <c r="AL90" s="105"/>
      <c r="AM90" s="105"/>
      <c r="AN90" s="105"/>
      <c r="AO90" s="105"/>
      <c r="AP90" s="496"/>
      <c r="AQ90" s="108"/>
    </row>
    <row r="91" spans="1:43" ht="24.75" customHeight="1" x14ac:dyDescent="0.25">
      <c r="A91" s="1350">
        <v>14</v>
      </c>
      <c r="B91" s="1518">
        <v>1960178</v>
      </c>
      <c r="C91" s="1804" t="s">
        <v>1162</v>
      </c>
      <c r="D91" s="1685" t="s">
        <v>605</v>
      </c>
      <c r="E91" s="1343">
        <v>3.3029999999999999</v>
      </c>
      <c r="F91" s="1542">
        <v>19818</v>
      </c>
      <c r="G91" s="472"/>
      <c r="H91" s="472"/>
      <c r="I91" s="473"/>
      <c r="J91" s="927"/>
      <c r="K91" s="964"/>
      <c r="L91" s="927"/>
      <c r="M91" s="1518" t="s">
        <v>1031</v>
      </c>
      <c r="N91" s="1518" t="s">
        <v>1171</v>
      </c>
      <c r="O91" s="1207" t="s">
        <v>7</v>
      </c>
      <c r="P91" s="913">
        <v>3.3029999999999999</v>
      </c>
      <c r="Q91" s="964" t="s">
        <v>2</v>
      </c>
      <c r="R91" s="1678">
        <f>50595.19-R93</f>
        <v>50217.47</v>
      </c>
      <c r="S91" s="1709" t="s">
        <v>1031</v>
      </c>
      <c r="T91" s="1518" t="s">
        <v>1171</v>
      </c>
      <c r="U91" s="1207" t="s">
        <v>1181</v>
      </c>
      <c r="V91" s="913"/>
      <c r="W91" s="964" t="s">
        <v>2</v>
      </c>
      <c r="X91" s="1678">
        <v>1083.55195</v>
      </c>
      <c r="Y91" s="1518" t="s">
        <v>1031</v>
      </c>
      <c r="Z91" s="1518" t="s">
        <v>1171</v>
      </c>
      <c r="AA91" s="1207" t="s">
        <v>1181</v>
      </c>
      <c r="AB91" s="913"/>
      <c r="AC91" s="964" t="s">
        <v>2</v>
      </c>
      <c r="AD91" s="1702">
        <v>1153.9829999999999</v>
      </c>
      <c r="AE91" s="1518" t="s">
        <v>1031</v>
      </c>
      <c r="AF91" s="1518" t="s">
        <v>1171</v>
      </c>
      <c r="AG91" s="1207" t="s">
        <v>1181</v>
      </c>
      <c r="AH91" s="913"/>
      <c r="AI91" s="964" t="s">
        <v>2</v>
      </c>
      <c r="AJ91" s="1248">
        <v>1231.3</v>
      </c>
      <c r="AK91" s="314"/>
      <c r="AL91" s="51"/>
      <c r="AM91" s="51"/>
      <c r="AN91" s="51"/>
      <c r="AO91" s="51"/>
      <c r="AP91" s="316"/>
      <c r="AQ91" s="8"/>
    </row>
    <row r="92" spans="1:43" ht="23.85" customHeight="1" x14ac:dyDescent="0.25">
      <c r="A92" s="1351"/>
      <c r="B92" s="1623"/>
      <c r="C92" s="1805"/>
      <c r="D92" s="1328"/>
      <c r="E92" s="1344"/>
      <c r="F92" s="1800"/>
      <c r="G92" s="1085"/>
      <c r="H92" s="1085"/>
      <c r="I92" s="1101"/>
      <c r="J92" s="1035"/>
      <c r="K92" s="1032"/>
      <c r="L92" s="1035"/>
      <c r="M92" s="1623"/>
      <c r="N92" s="1623"/>
      <c r="O92" s="1157"/>
      <c r="P92" s="912">
        <v>20357</v>
      </c>
      <c r="Q92" s="879" t="s">
        <v>3</v>
      </c>
      <c r="R92" s="1247"/>
      <c r="S92" s="1710"/>
      <c r="T92" s="1623"/>
      <c r="U92" s="1157"/>
      <c r="V92" s="1035"/>
      <c r="W92" s="876" t="s">
        <v>3</v>
      </c>
      <c r="X92" s="1247"/>
      <c r="Y92" s="1623"/>
      <c r="Z92" s="1623"/>
      <c r="AA92" s="1157"/>
      <c r="AB92" s="1035"/>
      <c r="AC92" s="876" t="s">
        <v>3</v>
      </c>
      <c r="AD92" s="1145"/>
      <c r="AE92" s="1623"/>
      <c r="AF92" s="1623"/>
      <c r="AG92" s="1157"/>
      <c r="AH92" s="1035"/>
      <c r="AI92" s="879" t="s">
        <v>3</v>
      </c>
      <c r="AJ92" s="1249"/>
      <c r="AK92" s="314"/>
      <c r="AL92" s="51"/>
      <c r="AM92" s="51"/>
      <c r="AN92" s="51"/>
      <c r="AO92" s="51"/>
      <c r="AP92" s="316"/>
      <c r="AQ92" s="8"/>
    </row>
    <row r="93" spans="1:43" ht="42" customHeight="1" thickBot="1" x14ac:dyDescent="0.3">
      <c r="A93" s="1352"/>
      <c r="B93" s="1519"/>
      <c r="C93" s="1806"/>
      <c r="D93" s="1234"/>
      <c r="E93" s="1345"/>
      <c r="F93" s="1299"/>
      <c r="G93" s="474"/>
      <c r="H93" s="474"/>
      <c r="I93" s="1112"/>
      <c r="J93" s="475"/>
      <c r="K93" s="919"/>
      <c r="L93" s="475"/>
      <c r="M93" s="1519"/>
      <c r="N93" s="1519"/>
      <c r="O93" s="1113" t="s">
        <v>32</v>
      </c>
      <c r="P93" s="943">
        <v>62</v>
      </c>
      <c r="Q93" s="177" t="s">
        <v>10</v>
      </c>
      <c r="R93" s="861">
        <v>377.72</v>
      </c>
      <c r="S93" s="1711"/>
      <c r="T93" s="1519"/>
      <c r="U93" s="891" t="s">
        <v>32</v>
      </c>
      <c r="V93" s="475"/>
      <c r="W93" s="177" t="s">
        <v>10</v>
      </c>
      <c r="X93" s="475">
        <v>0</v>
      </c>
      <c r="Y93" s="1519"/>
      <c r="Z93" s="1519"/>
      <c r="AA93" s="891" t="s">
        <v>32</v>
      </c>
      <c r="AB93" s="475"/>
      <c r="AC93" s="177" t="s">
        <v>10</v>
      </c>
      <c r="AD93" s="475">
        <v>0</v>
      </c>
      <c r="AE93" s="1519"/>
      <c r="AF93" s="1519"/>
      <c r="AG93" s="891" t="s">
        <v>32</v>
      </c>
      <c r="AH93" s="475"/>
      <c r="AI93" s="177" t="s">
        <v>10</v>
      </c>
      <c r="AJ93" s="1130">
        <v>0</v>
      </c>
      <c r="AK93" s="314"/>
      <c r="AL93" s="51"/>
      <c r="AM93" s="51"/>
      <c r="AN93" s="51"/>
      <c r="AO93" s="51"/>
      <c r="AP93" s="316"/>
      <c r="AQ93" s="8"/>
    </row>
    <row r="94" spans="1:43" ht="24.75" customHeight="1" x14ac:dyDescent="0.25">
      <c r="A94" s="1350">
        <v>15</v>
      </c>
      <c r="B94" s="1518">
        <v>1960057</v>
      </c>
      <c r="C94" s="1804" t="s">
        <v>393</v>
      </c>
      <c r="D94" s="1685" t="s">
        <v>702</v>
      </c>
      <c r="E94" s="1343">
        <v>1.3</v>
      </c>
      <c r="F94" s="1542">
        <v>5850</v>
      </c>
      <c r="G94" s="472"/>
      <c r="H94" s="472"/>
      <c r="I94" s="473"/>
      <c r="J94" s="927"/>
      <c r="K94" s="964"/>
      <c r="L94" s="927"/>
      <c r="M94" s="1188" t="s">
        <v>1031</v>
      </c>
      <c r="N94" s="1188" t="s">
        <v>1045</v>
      </c>
      <c r="O94" s="1207" t="s">
        <v>7</v>
      </c>
      <c r="P94" s="913">
        <v>1.3</v>
      </c>
      <c r="Q94" s="964" t="s">
        <v>2</v>
      </c>
      <c r="R94" s="1678">
        <f>14688.975-R96-R97</f>
        <v>14502.635000000002</v>
      </c>
      <c r="S94" s="1709" t="s">
        <v>1031</v>
      </c>
      <c r="T94" s="1518" t="s">
        <v>1045</v>
      </c>
      <c r="U94" s="1207" t="s">
        <v>1181</v>
      </c>
      <c r="V94" s="913"/>
      <c r="W94" s="964" t="s">
        <v>2</v>
      </c>
      <c r="X94" s="1678">
        <v>421.29586999999998</v>
      </c>
      <c r="Y94" s="1709" t="s">
        <v>1031</v>
      </c>
      <c r="Z94" s="1518" t="s">
        <v>1045</v>
      </c>
      <c r="AA94" s="1207" t="s">
        <v>1181</v>
      </c>
      <c r="AB94" s="913"/>
      <c r="AC94" s="964" t="s">
        <v>2</v>
      </c>
      <c r="AD94" s="1702">
        <v>448.68099999999998</v>
      </c>
      <c r="AE94" s="1709" t="s">
        <v>1031</v>
      </c>
      <c r="AF94" s="1518" t="s">
        <v>1045</v>
      </c>
      <c r="AG94" s="1207" t="s">
        <v>1181</v>
      </c>
      <c r="AH94" s="913"/>
      <c r="AI94" s="964" t="s">
        <v>2</v>
      </c>
      <c r="AJ94" s="1248">
        <v>478.74299999999999</v>
      </c>
      <c r="AK94" s="314"/>
      <c r="AL94" s="51"/>
      <c r="AM94" s="51"/>
      <c r="AN94" s="51"/>
      <c r="AO94" s="51"/>
      <c r="AP94" s="316"/>
      <c r="AQ94" s="8"/>
    </row>
    <row r="95" spans="1:43" ht="25.7" customHeight="1" x14ac:dyDescent="0.25">
      <c r="A95" s="1351"/>
      <c r="B95" s="1623"/>
      <c r="C95" s="1805"/>
      <c r="D95" s="1328"/>
      <c r="E95" s="1344"/>
      <c r="F95" s="1800"/>
      <c r="G95" s="1085"/>
      <c r="H95" s="1085"/>
      <c r="I95" s="1101"/>
      <c r="J95" s="1035"/>
      <c r="K95" s="1032"/>
      <c r="L95" s="1035"/>
      <c r="M95" s="1189"/>
      <c r="N95" s="1189"/>
      <c r="O95" s="1157"/>
      <c r="P95" s="1035">
        <v>7016.4</v>
      </c>
      <c r="Q95" s="876" t="s">
        <v>3</v>
      </c>
      <c r="R95" s="1247"/>
      <c r="S95" s="1710"/>
      <c r="T95" s="1623"/>
      <c r="U95" s="1157"/>
      <c r="V95" s="1035"/>
      <c r="W95" s="876" t="s">
        <v>3</v>
      </c>
      <c r="X95" s="1247"/>
      <c r="Y95" s="1710"/>
      <c r="Z95" s="1623"/>
      <c r="AA95" s="1157"/>
      <c r="AB95" s="1035"/>
      <c r="AC95" s="876" t="s">
        <v>3</v>
      </c>
      <c r="AD95" s="1145"/>
      <c r="AE95" s="1710"/>
      <c r="AF95" s="1623"/>
      <c r="AG95" s="1157"/>
      <c r="AH95" s="1035"/>
      <c r="AI95" s="876" t="s">
        <v>3</v>
      </c>
      <c r="AJ95" s="1249"/>
      <c r="AK95" s="314"/>
      <c r="AL95" s="51"/>
      <c r="AM95" s="51"/>
      <c r="AN95" s="51"/>
      <c r="AO95" s="51"/>
      <c r="AP95" s="316"/>
      <c r="AQ95" s="8"/>
    </row>
    <row r="96" spans="1:43" ht="25.7" customHeight="1" x14ac:dyDescent="0.25">
      <c r="A96" s="1351"/>
      <c r="B96" s="1623"/>
      <c r="C96" s="1805"/>
      <c r="D96" s="1328"/>
      <c r="E96" s="1344"/>
      <c r="F96" s="1800"/>
      <c r="G96" s="1085"/>
      <c r="H96" s="1085"/>
      <c r="I96" s="1101"/>
      <c r="J96" s="1035"/>
      <c r="K96" s="1032"/>
      <c r="L96" s="1035"/>
      <c r="M96" s="1189"/>
      <c r="N96" s="1189"/>
      <c r="O96" s="1053" t="s">
        <v>8</v>
      </c>
      <c r="P96" s="911">
        <v>2.4529999999999998</v>
      </c>
      <c r="Q96" s="42" t="s">
        <v>2</v>
      </c>
      <c r="R96" s="923">
        <v>39.576000000000001</v>
      </c>
      <c r="S96" s="1710"/>
      <c r="T96" s="1623"/>
      <c r="U96" s="1053" t="s">
        <v>8</v>
      </c>
      <c r="V96" s="911"/>
      <c r="W96" s="42" t="s">
        <v>2</v>
      </c>
      <c r="X96" s="923">
        <v>0</v>
      </c>
      <c r="Y96" s="1710"/>
      <c r="Z96" s="1623"/>
      <c r="AA96" s="1053" t="s">
        <v>8</v>
      </c>
      <c r="AB96" s="911"/>
      <c r="AC96" s="882" t="s">
        <v>2</v>
      </c>
      <c r="AD96" s="923">
        <v>0</v>
      </c>
      <c r="AE96" s="1710"/>
      <c r="AF96" s="1623"/>
      <c r="AG96" s="1053" t="s">
        <v>8</v>
      </c>
      <c r="AH96" s="911"/>
      <c r="AI96" s="42" t="s">
        <v>2</v>
      </c>
      <c r="AJ96" s="923">
        <v>0</v>
      </c>
      <c r="AK96" s="457"/>
      <c r="AL96" s="319"/>
      <c r="AM96" s="51"/>
      <c r="AN96" s="51"/>
      <c r="AO96" s="51"/>
      <c r="AP96" s="316"/>
      <c r="AQ96" s="8"/>
    </row>
    <row r="97" spans="1:43" ht="33" customHeight="1" thickBot="1" x14ac:dyDescent="0.3">
      <c r="A97" s="1352"/>
      <c r="B97" s="1519"/>
      <c r="C97" s="1806"/>
      <c r="D97" s="1234"/>
      <c r="E97" s="1345"/>
      <c r="F97" s="1299"/>
      <c r="G97" s="474"/>
      <c r="H97" s="474"/>
      <c r="I97" s="1112"/>
      <c r="J97" s="475"/>
      <c r="K97" s="919"/>
      <c r="L97" s="475"/>
      <c r="M97" s="1537"/>
      <c r="N97" s="1537"/>
      <c r="O97" s="891" t="s">
        <v>32</v>
      </c>
      <c r="P97" s="943">
        <v>19</v>
      </c>
      <c r="Q97" s="177" t="s">
        <v>10</v>
      </c>
      <c r="R97" s="861">
        <v>146.76400000000001</v>
      </c>
      <c r="S97" s="1711"/>
      <c r="T97" s="1519"/>
      <c r="U97" s="891" t="s">
        <v>32</v>
      </c>
      <c r="V97" s="943"/>
      <c r="W97" s="177" t="s">
        <v>10</v>
      </c>
      <c r="X97" s="861">
        <v>0</v>
      </c>
      <c r="Y97" s="1711"/>
      <c r="Z97" s="1519"/>
      <c r="AA97" s="891" t="s">
        <v>32</v>
      </c>
      <c r="AB97" s="943"/>
      <c r="AC97" s="889" t="s">
        <v>10</v>
      </c>
      <c r="AD97" s="861">
        <v>0</v>
      </c>
      <c r="AE97" s="1711"/>
      <c r="AF97" s="1519"/>
      <c r="AG97" s="891" t="s">
        <v>32</v>
      </c>
      <c r="AH97" s="943"/>
      <c r="AI97" s="177" t="s">
        <v>10</v>
      </c>
      <c r="AJ97" s="861">
        <v>0</v>
      </c>
      <c r="AK97" s="457"/>
      <c r="AL97" s="319"/>
      <c r="AM97" s="51"/>
      <c r="AN97" s="51"/>
      <c r="AO97" s="51"/>
      <c r="AP97" s="316"/>
      <c r="AQ97" s="8"/>
    </row>
    <row r="98" spans="1:43" ht="21.75" customHeight="1" x14ac:dyDescent="0.25">
      <c r="A98" s="1223">
        <v>16</v>
      </c>
      <c r="B98" s="1328">
        <v>1960133</v>
      </c>
      <c r="C98" s="1304" t="s">
        <v>139</v>
      </c>
      <c r="D98" s="1328" t="s">
        <v>161</v>
      </c>
      <c r="E98" s="1341">
        <v>12.63</v>
      </c>
      <c r="F98" s="1330">
        <v>81433</v>
      </c>
      <c r="G98" s="1083"/>
      <c r="H98" s="1083"/>
      <c r="I98" s="981"/>
      <c r="J98" s="1137"/>
      <c r="K98" s="898"/>
      <c r="L98" s="527"/>
      <c r="M98" s="1141"/>
      <c r="N98" s="1141"/>
      <c r="O98" s="1119"/>
      <c r="P98" s="30"/>
      <c r="Q98" s="1110"/>
      <c r="R98" s="631"/>
      <c r="S98" s="1328" t="s">
        <v>1031</v>
      </c>
      <c r="T98" s="1328" t="s">
        <v>1039</v>
      </c>
      <c r="U98" s="1226" t="s">
        <v>7</v>
      </c>
      <c r="V98" s="1074"/>
      <c r="W98" s="944" t="s">
        <v>2</v>
      </c>
      <c r="X98" s="2010">
        <v>52150</v>
      </c>
      <c r="Y98" s="1328" t="s">
        <v>1031</v>
      </c>
      <c r="Z98" s="1328" t="s">
        <v>1039</v>
      </c>
      <c r="AA98" s="1226" t="s">
        <v>7</v>
      </c>
      <c r="AB98" s="1074">
        <v>12.63</v>
      </c>
      <c r="AC98" s="944" t="s">
        <v>2</v>
      </c>
      <c r="AD98" s="1914">
        <v>127960.30302000001</v>
      </c>
      <c r="AE98" s="51"/>
      <c r="AF98" s="319"/>
      <c r="AG98" s="319"/>
      <c r="AH98" s="319"/>
      <c r="AI98" s="319"/>
      <c r="AJ98" s="319"/>
      <c r="AK98" s="319"/>
      <c r="AL98" s="319"/>
      <c r="AM98" s="51"/>
      <c r="AN98" s="51"/>
      <c r="AO98" s="51"/>
      <c r="AP98" s="316"/>
      <c r="AQ98" s="8"/>
    </row>
    <row r="99" spans="1:43" ht="25.15" customHeight="1" thickBot="1" x14ac:dyDescent="0.3">
      <c r="A99" s="1224"/>
      <c r="B99" s="1234"/>
      <c r="C99" s="1194"/>
      <c r="D99" s="1234"/>
      <c r="E99" s="1239"/>
      <c r="F99" s="1327"/>
      <c r="G99" s="987"/>
      <c r="H99" s="987"/>
      <c r="I99" s="1102"/>
      <c r="J99" s="237"/>
      <c r="K99" s="890"/>
      <c r="L99" s="238"/>
      <c r="M99" s="223"/>
      <c r="N99" s="223"/>
      <c r="O99" s="224"/>
      <c r="P99" s="239"/>
      <c r="Q99" s="177"/>
      <c r="R99" s="634"/>
      <c r="S99" s="1234"/>
      <c r="T99" s="1234"/>
      <c r="U99" s="1469"/>
      <c r="V99" s="740"/>
      <c r="W99" s="909" t="s">
        <v>3</v>
      </c>
      <c r="X99" s="1915"/>
      <c r="Y99" s="1233"/>
      <c r="Z99" s="1233"/>
      <c r="AA99" s="1863"/>
      <c r="AB99" s="2011">
        <v>81269</v>
      </c>
      <c r="AC99" s="939" t="s">
        <v>3</v>
      </c>
      <c r="AD99" s="2012"/>
      <c r="AE99" s="118"/>
      <c r="AF99" s="117"/>
      <c r="AG99" s="117"/>
      <c r="AH99" s="117"/>
      <c r="AI99" s="117"/>
      <c r="AJ99" s="117"/>
      <c r="AK99" s="51"/>
      <c r="AL99" s="51"/>
      <c r="AM99" s="51"/>
      <c r="AN99" s="51"/>
      <c r="AO99" s="51"/>
      <c r="AP99" s="316"/>
      <c r="AQ99" s="8"/>
    </row>
    <row r="100" spans="1:43" ht="20.65" hidden="1" customHeight="1" x14ac:dyDescent="0.25">
      <c r="A100" s="1235">
        <v>16</v>
      </c>
      <c r="B100" s="1289">
        <v>1960288</v>
      </c>
      <c r="C100" s="1193" t="s">
        <v>93</v>
      </c>
      <c r="D100" s="1289" t="s">
        <v>212</v>
      </c>
      <c r="E100" s="1325">
        <v>7.24</v>
      </c>
      <c r="F100" s="1326">
        <v>72953</v>
      </c>
      <c r="G100" s="986"/>
      <c r="H100" s="986"/>
      <c r="I100" s="1052"/>
      <c r="J100" s="190"/>
      <c r="K100" s="886"/>
      <c r="L100" s="235"/>
      <c r="M100" s="221"/>
      <c r="N100" s="221"/>
      <c r="O100" s="222"/>
      <c r="P100" s="236"/>
      <c r="Q100" s="182"/>
      <c r="R100" s="633"/>
      <c r="S100" s="221"/>
      <c r="T100" s="221"/>
      <c r="U100" s="221"/>
      <c r="V100" s="236"/>
      <c r="W100" s="182"/>
      <c r="X100" s="862"/>
      <c r="Y100" s="64"/>
      <c r="Z100" s="64"/>
      <c r="AA100" s="206"/>
      <c r="AB100" s="1065"/>
      <c r="AC100" s="882"/>
      <c r="AD100" s="96"/>
      <c r="AE100" s="64"/>
      <c r="AF100" s="64"/>
      <c r="AG100" s="206"/>
      <c r="AH100" s="1065"/>
      <c r="AI100" s="882"/>
      <c r="AJ100" s="535"/>
      <c r="AK100" s="1969" t="s">
        <v>1031</v>
      </c>
      <c r="AL100" s="1962" t="s">
        <v>1036</v>
      </c>
      <c r="AM100" s="1940" t="s">
        <v>7</v>
      </c>
      <c r="AN100" s="742"/>
      <c r="AO100" s="745" t="s">
        <v>2</v>
      </c>
      <c r="AP100" s="1978"/>
      <c r="AQ100" s="8"/>
    </row>
    <row r="101" spans="1:43" ht="20.65" hidden="1" customHeight="1" thickBot="1" x14ac:dyDescent="0.3">
      <c r="A101" s="1224"/>
      <c r="B101" s="1234"/>
      <c r="C101" s="1194"/>
      <c r="D101" s="1234"/>
      <c r="E101" s="1239"/>
      <c r="F101" s="1327"/>
      <c r="G101" s="987"/>
      <c r="H101" s="987"/>
      <c r="I101" s="1102"/>
      <c r="J101" s="237"/>
      <c r="K101" s="890"/>
      <c r="L101" s="238"/>
      <c r="M101" s="223"/>
      <c r="N101" s="223"/>
      <c r="O101" s="224"/>
      <c r="P101" s="177"/>
      <c r="Q101" s="177"/>
      <c r="R101" s="634"/>
      <c r="S101" s="223"/>
      <c r="T101" s="223"/>
      <c r="U101" s="223"/>
      <c r="V101" s="177"/>
      <c r="W101" s="177"/>
      <c r="X101" s="863"/>
      <c r="Y101" s="64"/>
      <c r="Z101" s="64"/>
      <c r="AA101" s="206"/>
      <c r="AB101" s="882"/>
      <c r="AC101" s="882"/>
      <c r="AD101" s="96"/>
      <c r="AE101" s="64"/>
      <c r="AF101" s="64"/>
      <c r="AG101" s="206"/>
      <c r="AH101" s="882"/>
      <c r="AI101" s="882"/>
      <c r="AJ101" s="535"/>
      <c r="AK101" s="1975"/>
      <c r="AL101" s="1976"/>
      <c r="AM101" s="1977"/>
      <c r="AN101" s="784"/>
      <c r="AO101" s="784" t="s">
        <v>3</v>
      </c>
      <c r="AP101" s="1974"/>
      <c r="AQ101" s="8"/>
    </row>
    <row r="102" spans="1:43" s="23" customFormat="1" ht="19.899999999999999" hidden="1" customHeight="1" x14ac:dyDescent="0.25">
      <c r="A102" s="1235">
        <v>19</v>
      </c>
      <c r="B102" s="1289">
        <v>1960045</v>
      </c>
      <c r="C102" s="1193" t="s">
        <v>328</v>
      </c>
      <c r="D102" s="1289" t="s">
        <v>610</v>
      </c>
      <c r="E102" s="1325">
        <v>10</v>
      </c>
      <c r="F102" s="1326">
        <v>80998</v>
      </c>
      <c r="G102" s="986"/>
      <c r="H102" s="986"/>
      <c r="I102" s="1052"/>
      <c r="J102" s="190"/>
      <c r="K102" s="886"/>
      <c r="L102" s="235"/>
      <c r="M102" s="221"/>
      <c r="N102" s="221"/>
      <c r="O102" s="222"/>
      <c r="P102" s="236"/>
      <c r="Q102" s="182"/>
      <c r="R102" s="633"/>
      <c r="S102" s="1319" t="s">
        <v>1245</v>
      </c>
      <c r="T102" s="1319" t="s">
        <v>1044</v>
      </c>
      <c r="U102" s="1207" t="s">
        <v>7</v>
      </c>
      <c r="V102" s="1064">
        <f>6.469-6.469</f>
        <v>0</v>
      </c>
      <c r="W102" s="182" t="s">
        <v>2</v>
      </c>
      <c r="X102" s="1916">
        <f>V102*12300</f>
        <v>0</v>
      </c>
      <c r="Y102" s="1141"/>
      <c r="Z102" s="1141"/>
      <c r="AA102" s="246"/>
      <c r="AB102" s="1074"/>
      <c r="AC102" s="944"/>
      <c r="AD102" s="2013"/>
      <c r="AE102" s="9"/>
      <c r="AF102" s="9"/>
      <c r="AG102" s="9"/>
      <c r="AH102" s="9"/>
      <c r="AI102" s="9"/>
      <c r="AJ102" s="9"/>
      <c r="AK102" s="178"/>
      <c r="AL102" s="9"/>
      <c r="AM102" s="9"/>
      <c r="AN102" s="9"/>
      <c r="AO102" s="9"/>
      <c r="AP102" s="802"/>
      <c r="AQ102" s="22"/>
    </row>
    <row r="103" spans="1:43" ht="21.2" hidden="1" customHeight="1" thickBot="1" x14ac:dyDescent="0.3">
      <c r="A103" s="1223"/>
      <c r="B103" s="1254"/>
      <c r="C103" s="1243"/>
      <c r="D103" s="1254"/>
      <c r="E103" s="1242"/>
      <c r="F103" s="1264"/>
      <c r="G103" s="575"/>
      <c r="H103" s="575"/>
      <c r="I103" s="576"/>
      <c r="J103" s="577"/>
      <c r="K103" s="575"/>
      <c r="L103" s="577"/>
      <c r="M103" s="252"/>
      <c r="N103" s="252"/>
      <c r="O103" s="279"/>
      <c r="P103" s="278"/>
      <c r="Q103" s="252"/>
      <c r="R103" s="630"/>
      <c r="S103" s="1434"/>
      <c r="T103" s="1434"/>
      <c r="U103" s="1691"/>
      <c r="V103" s="1113">
        <f>V102*6000</f>
        <v>0</v>
      </c>
      <c r="W103" s="173" t="s">
        <v>3</v>
      </c>
      <c r="X103" s="1917"/>
      <c r="Y103" s="64"/>
      <c r="Z103" s="64"/>
      <c r="AA103" s="206"/>
      <c r="AB103" s="741"/>
      <c r="AC103" s="882"/>
      <c r="AD103" s="535"/>
      <c r="AE103" s="333"/>
      <c r="AF103" s="333"/>
      <c r="AG103" s="333"/>
      <c r="AH103" s="333"/>
      <c r="AI103" s="333"/>
      <c r="AJ103" s="333"/>
      <c r="AK103" s="339"/>
      <c r="AL103" s="32"/>
      <c r="AM103" s="32"/>
      <c r="AN103" s="32"/>
      <c r="AO103" s="32"/>
      <c r="AP103" s="803"/>
      <c r="AQ103" s="32"/>
    </row>
    <row r="104" spans="1:43" ht="19.899999999999999" customHeight="1" x14ac:dyDescent="0.25">
      <c r="A104" s="1331">
        <v>17</v>
      </c>
      <c r="B104" s="1319">
        <v>1960150</v>
      </c>
      <c r="C104" s="1185" t="s">
        <v>1155</v>
      </c>
      <c r="D104" s="1315" t="s">
        <v>219</v>
      </c>
      <c r="E104" s="1312">
        <v>17.797000000000001</v>
      </c>
      <c r="F104" s="1201">
        <v>121884</v>
      </c>
      <c r="G104" s="986"/>
      <c r="H104" s="986"/>
      <c r="I104" s="1052"/>
      <c r="J104" s="190"/>
      <c r="K104" s="886"/>
      <c r="L104" s="235"/>
      <c r="M104" s="1240" t="s">
        <v>1031</v>
      </c>
      <c r="N104" s="1240" t="s">
        <v>1222</v>
      </c>
      <c r="O104" s="1207" t="s">
        <v>7</v>
      </c>
      <c r="P104" s="1064"/>
      <c r="Q104" s="881" t="s">
        <v>2</v>
      </c>
      <c r="R104" s="1705">
        <f>92882.628</f>
        <v>92882.627999999997</v>
      </c>
      <c r="S104" s="1240" t="s">
        <v>1031</v>
      </c>
      <c r="T104" s="1240" t="s">
        <v>1222</v>
      </c>
      <c r="U104" s="1207" t="s">
        <v>7</v>
      </c>
      <c r="V104" s="1064">
        <v>10.722</v>
      </c>
      <c r="W104" s="182" t="s">
        <v>2</v>
      </c>
      <c r="X104" s="1957">
        <f>71658.547-X106-X107</f>
        <v>70659.879000000001</v>
      </c>
      <c r="Y104" s="64"/>
      <c r="Z104" s="64"/>
      <c r="AA104" s="206"/>
      <c r="AB104" s="1065"/>
      <c r="AC104" s="882"/>
      <c r="AD104" s="2013"/>
      <c r="AE104" s="9"/>
      <c r="AF104" s="333"/>
      <c r="AG104" s="333"/>
      <c r="AH104" s="333"/>
      <c r="AI104" s="333"/>
      <c r="AJ104" s="333"/>
      <c r="AK104" s="339"/>
      <c r="AL104" s="32"/>
      <c r="AM104" s="32"/>
      <c r="AN104" s="32"/>
      <c r="AO104" s="32"/>
      <c r="AP104" s="803"/>
      <c r="AQ104" s="32"/>
    </row>
    <row r="105" spans="1:43" ht="19.899999999999999" customHeight="1" x14ac:dyDescent="0.25">
      <c r="A105" s="1332"/>
      <c r="B105" s="1320"/>
      <c r="C105" s="1186"/>
      <c r="D105" s="1316"/>
      <c r="E105" s="1313"/>
      <c r="F105" s="1202"/>
      <c r="G105" s="333"/>
      <c r="H105" s="333"/>
      <c r="I105" s="134"/>
      <c r="J105" s="332"/>
      <c r="K105" s="333"/>
      <c r="L105" s="332"/>
      <c r="M105" s="1218"/>
      <c r="N105" s="1218"/>
      <c r="O105" s="1157"/>
      <c r="P105" s="1053"/>
      <c r="Q105" s="882" t="s">
        <v>3</v>
      </c>
      <c r="R105" s="1706"/>
      <c r="S105" s="1218"/>
      <c r="T105" s="1218"/>
      <c r="U105" s="1157"/>
      <c r="V105" s="1053">
        <v>70168</v>
      </c>
      <c r="W105" s="42" t="s">
        <v>3</v>
      </c>
      <c r="X105" s="1192"/>
      <c r="Y105" s="317"/>
      <c r="Z105" s="64"/>
      <c r="AA105" s="206"/>
      <c r="AB105" s="976"/>
      <c r="AC105" s="988"/>
      <c r="AD105" s="535"/>
      <c r="AE105" s="333"/>
      <c r="AF105" s="333"/>
      <c r="AG105" s="333"/>
      <c r="AH105" s="333"/>
      <c r="AI105" s="333"/>
      <c r="AJ105" s="333"/>
      <c r="AK105" s="339"/>
      <c r="AL105" s="32"/>
      <c r="AM105" s="32"/>
      <c r="AN105" s="32"/>
      <c r="AO105" s="32"/>
      <c r="AP105" s="803"/>
      <c r="AQ105" s="32"/>
    </row>
    <row r="106" spans="1:43" ht="19.899999999999999" customHeight="1" x14ac:dyDescent="0.25">
      <c r="A106" s="1332"/>
      <c r="B106" s="1320"/>
      <c r="C106" s="1186"/>
      <c r="D106" s="1316"/>
      <c r="E106" s="1313"/>
      <c r="F106" s="1202"/>
      <c r="G106" s="333"/>
      <c r="H106" s="333"/>
      <c r="I106" s="134"/>
      <c r="J106" s="332"/>
      <c r="K106" s="333"/>
      <c r="L106" s="332"/>
      <c r="M106" s="1218"/>
      <c r="N106" s="1218"/>
      <c r="O106" s="1053" t="s">
        <v>8</v>
      </c>
      <c r="P106" s="911"/>
      <c r="Q106" s="882" t="s">
        <v>2</v>
      </c>
      <c r="R106" s="911"/>
      <c r="S106" s="1218"/>
      <c r="T106" s="1218"/>
      <c r="U106" s="1053" t="s">
        <v>8</v>
      </c>
      <c r="V106" s="911">
        <v>10.198</v>
      </c>
      <c r="W106" s="42" t="s">
        <v>2</v>
      </c>
      <c r="X106" s="923">
        <v>123.386</v>
      </c>
      <c r="Y106" s="317"/>
      <c r="Z106" s="1141"/>
      <c r="AA106" s="246"/>
      <c r="AB106" s="1053"/>
      <c r="AC106" s="882"/>
      <c r="AD106" s="535"/>
      <c r="AE106" s="333"/>
      <c r="AF106" s="333"/>
      <c r="AG106" s="333"/>
      <c r="AH106" s="333"/>
      <c r="AI106" s="333"/>
      <c r="AJ106" s="333"/>
      <c r="AK106" s="339"/>
      <c r="AL106" s="32"/>
      <c r="AM106" s="32"/>
      <c r="AN106" s="32"/>
      <c r="AO106" s="32"/>
      <c r="AP106" s="803"/>
      <c r="AQ106" s="32"/>
    </row>
    <row r="107" spans="1:43" ht="36.75" customHeight="1" thickBot="1" x14ac:dyDescent="0.3">
      <c r="A107" s="1333"/>
      <c r="B107" s="1321"/>
      <c r="C107" s="1318"/>
      <c r="D107" s="1317"/>
      <c r="E107" s="1314"/>
      <c r="F107" s="1953"/>
      <c r="G107" s="242"/>
      <c r="H107" s="242"/>
      <c r="I107" s="450"/>
      <c r="J107" s="244"/>
      <c r="K107" s="242"/>
      <c r="L107" s="244"/>
      <c r="M107" s="1241"/>
      <c r="N107" s="1241"/>
      <c r="O107" s="891" t="s">
        <v>32</v>
      </c>
      <c r="P107" s="943"/>
      <c r="Q107" s="889" t="s">
        <v>10</v>
      </c>
      <c r="R107" s="943"/>
      <c r="S107" s="1241"/>
      <c r="T107" s="1241"/>
      <c r="U107" s="891" t="s">
        <v>32</v>
      </c>
      <c r="V107" s="943">
        <v>130</v>
      </c>
      <c r="W107" s="177" t="s">
        <v>10</v>
      </c>
      <c r="X107" s="861">
        <v>875.28200000000004</v>
      </c>
      <c r="Y107" s="317"/>
      <c r="Z107" s="1141"/>
      <c r="AA107" s="246"/>
      <c r="AB107" s="1053"/>
      <c r="AC107" s="882"/>
      <c r="AD107" s="535"/>
      <c r="AE107" s="333"/>
      <c r="AF107" s="333"/>
      <c r="AG107" s="333"/>
      <c r="AH107" s="333"/>
      <c r="AI107" s="333"/>
      <c r="AJ107" s="333"/>
      <c r="AK107" s="339"/>
      <c r="AL107" s="32"/>
      <c r="AM107" s="32"/>
      <c r="AN107" s="32"/>
      <c r="AO107" s="32"/>
      <c r="AP107" s="803"/>
      <c r="AQ107" s="32"/>
    </row>
    <row r="108" spans="1:43" ht="23.25" hidden="1" customHeight="1" x14ac:dyDescent="0.25">
      <c r="A108" s="1223">
        <v>20</v>
      </c>
      <c r="B108" s="1254">
        <v>1959964</v>
      </c>
      <c r="C108" s="1243" t="s">
        <v>330</v>
      </c>
      <c r="D108" s="1422" t="s">
        <v>613</v>
      </c>
      <c r="E108" s="1242">
        <v>1.427</v>
      </c>
      <c r="F108" s="1264">
        <v>6448</v>
      </c>
      <c r="G108" s="1083"/>
      <c r="H108" s="1083"/>
      <c r="I108" s="981"/>
      <c r="J108" s="1137"/>
      <c r="K108" s="898"/>
      <c r="L108" s="527"/>
      <c r="M108" s="1119"/>
      <c r="N108" s="1119"/>
      <c r="O108" s="1119"/>
      <c r="P108" s="1074"/>
      <c r="Q108" s="944"/>
      <c r="R108" s="635"/>
      <c r="S108" s="1119"/>
      <c r="T108" s="1119"/>
      <c r="U108" s="1119"/>
      <c r="V108" s="1074"/>
      <c r="W108" s="1110"/>
      <c r="X108" s="864"/>
      <c r="Y108" s="64"/>
      <c r="Z108" s="64"/>
      <c r="AA108" s="206"/>
      <c r="AB108" s="1065"/>
      <c r="AC108" s="882"/>
      <c r="AD108" s="535"/>
      <c r="AE108" s="64"/>
      <c r="AF108" s="64"/>
      <c r="AG108" s="206"/>
      <c r="AH108" s="1065"/>
      <c r="AI108" s="882"/>
      <c r="AJ108" s="535"/>
      <c r="AK108" s="1975" t="s">
        <v>1031</v>
      </c>
      <c r="AL108" s="1979" t="s">
        <v>1154</v>
      </c>
      <c r="AM108" s="1981" t="s">
        <v>7</v>
      </c>
      <c r="AN108" s="738"/>
      <c r="AO108" s="1117" t="s">
        <v>2</v>
      </c>
      <c r="AP108" s="1978"/>
      <c r="AQ108" s="32"/>
    </row>
    <row r="109" spans="1:43" ht="23.25" hidden="1" customHeight="1" thickBot="1" x14ac:dyDescent="0.3">
      <c r="A109" s="1223"/>
      <c r="B109" s="1254"/>
      <c r="C109" s="1243"/>
      <c r="D109" s="1422"/>
      <c r="E109" s="1242"/>
      <c r="F109" s="1264"/>
      <c r="G109" s="575"/>
      <c r="H109" s="575"/>
      <c r="I109" s="576"/>
      <c r="J109" s="577"/>
      <c r="K109" s="575"/>
      <c r="L109" s="577"/>
      <c r="M109" s="210"/>
      <c r="N109" s="210"/>
      <c r="O109" s="210"/>
      <c r="P109" s="579"/>
      <c r="Q109" s="210"/>
      <c r="R109" s="636"/>
      <c r="S109" s="210"/>
      <c r="T109" s="210"/>
      <c r="U109" s="210"/>
      <c r="V109" s="579"/>
      <c r="W109" s="252"/>
      <c r="X109" s="865"/>
      <c r="Y109" s="64"/>
      <c r="Z109" s="64"/>
      <c r="AA109" s="206"/>
      <c r="AB109" s="1139"/>
      <c r="AC109" s="882"/>
      <c r="AD109" s="535"/>
      <c r="AE109" s="1140"/>
      <c r="AF109" s="1140"/>
      <c r="AG109" s="263"/>
      <c r="AH109" s="1093"/>
      <c r="AI109" s="1049"/>
      <c r="AJ109" s="675"/>
      <c r="AK109" s="1975"/>
      <c r="AL109" s="1980"/>
      <c r="AM109" s="1977"/>
      <c r="AN109" s="743"/>
      <c r="AO109" s="744" t="s">
        <v>3</v>
      </c>
      <c r="AP109" s="1978"/>
      <c r="AQ109" s="32"/>
    </row>
    <row r="110" spans="1:43" ht="30" customHeight="1" x14ac:dyDescent="0.25">
      <c r="A110" s="1227">
        <v>18</v>
      </c>
      <c r="B110" s="1816">
        <v>1960333</v>
      </c>
      <c r="C110" s="1576" t="s">
        <v>1016</v>
      </c>
      <c r="D110" s="1811" t="s">
        <v>831</v>
      </c>
      <c r="E110" s="1982">
        <v>15.441000000000001</v>
      </c>
      <c r="F110" s="1989">
        <v>87377</v>
      </c>
      <c r="G110" s="986"/>
      <c r="H110" s="986"/>
      <c r="I110" s="1052"/>
      <c r="J110" s="190"/>
      <c r="K110" s="886"/>
      <c r="L110" s="235"/>
      <c r="M110" s="1240" t="s">
        <v>1031</v>
      </c>
      <c r="N110" s="1240" t="s">
        <v>1044</v>
      </c>
      <c r="O110" s="1207" t="s">
        <v>7</v>
      </c>
      <c r="P110" s="1064"/>
      <c r="Q110" s="881" t="s">
        <v>2</v>
      </c>
      <c r="R110" s="1705">
        <v>91415.997600000002</v>
      </c>
      <c r="S110" s="1240" t="s">
        <v>1031</v>
      </c>
      <c r="T110" s="1240" t="s">
        <v>1044</v>
      </c>
      <c r="U110" s="1207" t="s">
        <v>7</v>
      </c>
      <c r="V110" s="1064">
        <v>10</v>
      </c>
      <c r="W110" s="182" t="s">
        <v>2</v>
      </c>
      <c r="X110" s="1191">
        <v>9159.0023999999994</v>
      </c>
      <c r="Y110" s="321"/>
      <c r="Z110" s="887"/>
      <c r="AA110" s="877"/>
      <c r="AB110" s="20"/>
      <c r="AC110" s="42"/>
      <c r="AD110" s="487"/>
      <c r="AE110" s="24"/>
      <c r="AF110" s="24"/>
      <c r="AG110" s="206"/>
      <c r="AH110" s="1065"/>
      <c r="AI110" s="882"/>
      <c r="AJ110" s="152"/>
      <c r="AK110" s="339"/>
      <c r="AL110" s="32"/>
      <c r="AM110" s="32"/>
      <c r="AN110" s="32"/>
      <c r="AO110" s="32"/>
      <c r="AP110" s="32"/>
      <c r="AQ110" s="32"/>
    </row>
    <row r="111" spans="1:43" ht="30" customHeight="1" thickBot="1" x14ac:dyDescent="0.3">
      <c r="A111" s="1223"/>
      <c r="B111" s="1233"/>
      <c r="C111" s="1322"/>
      <c r="D111" s="1795"/>
      <c r="E111" s="1238"/>
      <c r="F111" s="1783"/>
      <c r="G111" s="333"/>
      <c r="H111" s="333"/>
      <c r="I111" s="134"/>
      <c r="J111" s="332"/>
      <c r="K111" s="333"/>
      <c r="L111" s="332"/>
      <c r="M111" s="1218"/>
      <c r="N111" s="1218"/>
      <c r="O111" s="1157"/>
      <c r="P111" s="1053"/>
      <c r="Q111" s="882" t="s">
        <v>3</v>
      </c>
      <c r="R111" s="1706"/>
      <c r="S111" s="1218"/>
      <c r="T111" s="1218"/>
      <c r="U111" s="1157"/>
      <c r="V111" s="680">
        <v>51470</v>
      </c>
      <c r="W111" s="42" t="s">
        <v>3</v>
      </c>
      <c r="X111" s="1192"/>
      <c r="Y111" s="321"/>
      <c r="Z111" s="887"/>
      <c r="AA111" s="877"/>
      <c r="AB111" s="1095"/>
      <c r="AC111" s="42"/>
      <c r="AD111" s="487"/>
      <c r="AE111" s="24"/>
      <c r="AF111" s="24"/>
      <c r="AG111" s="206"/>
      <c r="AH111" s="680"/>
      <c r="AI111" s="882"/>
      <c r="AJ111" s="152"/>
      <c r="AK111" s="339"/>
      <c r="AL111" s="32"/>
      <c r="AM111" s="32"/>
      <c r="AN111" s="32"/>
      <c r="AO111" s="32"/>
      <c r="AP111" s="32"/>
      <c r="AQ111" s="32"/>
    </row>
    <row r="112" spans="1:43" ht="30" customHeight="1" x14ac:dyDescent="0.25">
      <c r="A112" s="1223"/>
      <c r="B112" s="1233"/>
      <c r="C112" s="1322"/>
      <c r="D112" s="1795"/>
      <c r="E112" s="1238"/>
      <c r="F112" s="1783"/>
      <c r="G112" s="180"/>
      <c r="H112" s="180"/>
      <c r="I112" s="208"/>
      <c r="J112" s="179"/>
      <c r="K112" s="180"/>
      <c r="L112" s="179"/>
      <c r="M112" s="882"/>
      <c r="N112" s="882"/>
      <c r="O112" s="877"/>
      <c r="P112" s="1053"/>
      <c r="Q112" s="882"/>
      <c r="R112" s="911"/>
      <c r="S112" s="1240" t="s">
        <v>1044</v>
      </c>
      <c r="T112" s="1240" t="s">
        <v>1274</v>
      </c>
      <c r="U112" s="1207" t="s">
        <v>7</v>
      </c>
      <c r="V112" s="1064"/>
      <c r="W112" s="881" t="s">
        <v>2</v>
      </c>
      <c r="X112" s="1191">
        <v>33000</v>
      </c>
      <c r="Y112" s="1240" t="s">
        <v>1044</v>
      </c>
      <c r="Z112" s="1240" t="s">
        <v>1274</v>
      </c>
      <c r="AA112" s="1207" t="s">
        <v>7</v>
      </c>
      <c r="AB112" s="1064">
        <v>5.4409999999999998</v>
      </c>
      <c r="AC112" s="881" t="s">
        <v>2</v>
      </c>
      <c r="AD112" s="1957">
        <v>24063.91</v>
      </c>
      <c r="AE112" s="882"/>
      <c r="AF112" s="882"/>
      <c r="AG112" s="877"/>
      <c r="AH112" s="680"/>
      <c r="AI112" s="882"/>
      <c r="AJ112" s="911"/>
      <c r="AK112" s="339"/>
      <c r="AL112" s="32"/>
      <c r="AM112" s="32"/>
      <c r="AN112" s="32"/>
      <c r="AO112" s="32"/>
      <c r="AP112" s="32"/>
      <c r="AQ112" s="32"/>
    </row>
    <row r="113" spans="1:43" ht="30" customHeight="1" thickBot="1" x14ac:dyDescent="0.3">
      <c r="A113" s="1224"/>
      <c r="B113" s="1817"/>
      <c r="C113" s="1577"/>
      <c r="D113" s="1812"/>
      <c r="E113" s="1983"/>
      <c r="F113" s="1990"/>
      <c r="G113" s="180"/>
      <c r="H113" s="180"/>
      <c r="I113" s="208"/>
      <c r="J113" s="179"/>
      <c r="K113" s="180"/>
      <c r="L113" s="179"/>
      <c r="M113" s="882"/>
      <c r="N113" s="882"/>
      <c r="O113" s="877"/>
      <c r="P113" s="1053"/>
      <c r="Q113" s="882"/>
      <c r="R113" s="911"/>
      <c r="S113" s="1218"/>
      <c r="T113" s="1218"/>
      <c r="U113" s="1157"/>
      <c r="V113" s="680"/>
      <c r="W113" s="882" t="s">
        <v>3</v>
      </c>
      <c r="X113" s="1192"/>
      <c r="Y113" s="1218"/>
      <c r="Z113" s="1218"/>
      <c r="AA113" s="1157"/>
      <c r="AB113" s="680">
        <v>31019.599999999999</v>
      </c>
      <c r="AC113" s="882" t="s">
        <v>3</v>
      </c>
      <c r="AD113" s="2014"/>
      <c r="AE113" s="882"/>
      <c r="AF113" s="882"/>
      <c r="AG113" s="877"/>
      <c r="AH113" s="680"/>
      <c r="AI113" s="882"/>
      <c r="AJ113" s="911"/>
      <c r="AK113" s="339"/>
      <c r="AL113" s="32"/>
      <c r="AM113" s="32"/>
      <c r="AN113" s="32"/>
      <c r="AO113" s="32"/>
      <c r="AP113" s="32"/>
      <c r="AQ113" s="32"/>
    </row>
    <row r="114" spans="1:43" s="77" customFormat="1" ht="24.4" customHeight="1" x14ac:dyDescent="0.25">
      <c r="A114" s="1227">
        <v>19</v>
      </c>
      <c r="B114" s="1253">
        <v>1960087</v>
      </c>
      <c r="C114" s="1256" t="s">
        <v>912</v>
      </c>
      <c r="D114" s="1258" t="s">
        <v>210</v>
      </c>
      <c r="E114" s="1261">
        <v>10.08</v>
      </c>
      <c r="F114" s="1263">
        <v>93309</v>
      </c>
      <c r="G114" s="986"/>
      <c r="H114" s="986"/>
      <c r="I114" s="1052"/>
      <c r="J114" s="190"/>
      <c r="K114" s="886"/>
      <c r="L114" s="235"/>
      <c r="M114" s="1151" t="s">
        <v>1031</v>
      </c>
      <c r="N114" s="1151" t="s">
        <v>1231</v>
      </c>
      <c r="O114" s="1679" t="s">
        <v>7</v>
      </c>
      <c r="P114" s="1074"/>
      <c r="Q114" s="944" t="s">
        <v>2</v>
      </c>
      <c r="R114" s="1855">
        <v>58912.401850000002</v>
      </c>
      <c r="S114" s="1578" t="s">
        <v>1031</v>
      </c>
      <c r="T114" s="1578" t="s">
        <v>1231</v>
      </c>
      <c r="U114" s="1421" t="s">
        <v>7</v>
      </c>
      <c r="V114" s="1064">
        <v>5</v>
      </c>
      <c r="W114" s="881" t="s">
        <v>2</v>
      </c>
      <c r="X114" s="1182">
        <f>2347.2564-X116-X117</f>
        <v>2035.2704000000003</v>
      </c>
      <c r="Y114" s="887"/>
      <c r="Z114" s="887"/>
      <c r="AA114" s="877"/>
      <c r="AB114" s="20"/>
      <c r="AC114" s="42"/>
      <c r="AD114" s="1061"/>
      <c r="AE114" s="9"/>
      <c r="AF114" s="333"/>
      <c r="AG114" s="333"/>
      <c r="AH114" s="333"/>
      <c r="AI114" s="333"/>
      <c r="AJ114" s="47"/>
      <c r="AK114" s="333"/>
      <c r="AL114" s="333"/>
      <c r="AM114" s="333"/>
      <c r="AN114" s="333"/>
      <c r="AO114" s="333"/>
      <c r="AP114" s="333"/>
      <c r="AQ114" s="333"/>
    </row>
    <row r="115" spans="1:43" s="77" customFormat="1" ht="23.1" customHeight="1" x14ac:dyDescent="0.25">
      <c r="A115" s="1223"/>
      <c r="B115" s="1254"/>
      <c r="C115" s="1243"/>
      <c r="D115" s="1259"/>
      <c r="E115" s="1242"/>
      <c r="F115" s="1264"/>
      <c r="G115" s="133"/>
      <c r="H115" s="133"/>
      <c r="I115" s="134"/>
      <c r="J115" s="135"/>
      <c r="K115" s="133"/>
      <c r="L115" s="135"/>
      <c r="M115" s="1270"/>
      <c r="N115" s="1270"/>
      <c r="O115" s="1226"/>
      <c r="P115" s="1053"/>
      <c r="Q115" s="882" t="s">
        <v>3</v>
      </c>
      <c r="R115" s="1707"/>
      <c r="S115" s="1270"/>
      <c r="T115" s="1270"/>
      <c r="U115" s="1226"/>
      <c r="V115" s="680">
        <v>31906</v>
      </c>
      <c r="W115" s="882" t="s">
        <v>3</v>
      </c>
      <c r="X115" s="1707"/>
      <c r="Y115" s="887"/>
      <c r="Z115" s="887"/>
      <c r="AA115" s="877"/>
      <c r="AB115" s="1095"/>
      <c r="AC115" s="42"/>
      <c r="AD115" s="1061"/>
      <c r="AE115" s="333"/>
      <c r="AF115" s="333"/>
      <c r="AG115" s="333"/>
      <c r="AH115" s="333"/>
      <c r="AI115" s="333"/>
      <c r="AJ115" s="47"/>
      <c r="AK115" s="333"/>
      <c r="AL115" s="333"/>
      <c r="AM115" s="333"/>
      <c r="AN115" s="333"/>
      <c r="AO115" s="333"/>
      <c r="AP115" s="333"/>
      <c r="AQ115" s="333"/>
    </row>
    <row r="116" spans="1:43" s="77" customFormat="1" ht="23.1" customHeight="1" x14ac:dyDescent="0.25">
      <c r="A116" s="1223"/>
      <c r="B116" s="1254"/>
      <c r="C116" s="1243"/>
      <c r="D116" s="1259"/>
      <c r="E116" s="1242"/>
      <c r="F116" s="1264"/>
      <c r="G116" s="133"/>
      <c r="H116" s="133"/>
      <c r="I116" s="134"/>
      <c r="J116" s="135"/>
      <c r="K116" s="133"/>
      <c r="L116" s="135"/>
      <c r="M116" s="1270"/>
      <c r="N116" s="1270"/>
      <c r="O116" s="1053" t="s">
        <v>8</v>
      </c>
      <c r="P116" s="911"/>
      <c r="Q116" s="882" t="s">
        <v>2</v>
      </c>
      <c r="R116" s="911"/>
      <c r="S116" s="1270"/>
      <c r="T116" s="1270"/>
      <c r="U116" s="1053" t="s">
        <v>8</v>
      </c>
      <c r="V116" s="911">
        <v>5.1559999999999997</v>
      </c>
      <c r="W116" s="882" t="s">
        <v>2</v>
      </c>
      <c r="X116" s="911">
        <v>52.784999999999997</v>
      </c>
      <c r="Y116" s="887"/>
      <c r="Z116" s="887"/>
      <c r="AA116" s="877"/>
      <c r="AB116" s="1095"/>
      <c r="AC116" s="42"/>
      <c r="AD116" s="1061"/>
      <c r="AE116" s="333"/>
      <c r="AF116" s="333"/>
      <c r="AG116" s="333"/>
      <c r="AH116" s="333"/>
      <c r="AI116" s="333"/>
      <c r="AJ116" s="47"/>
      <c r="AK116" s="333"/>
      <c r="AL116" s="333"/>
      <c r="AM116" s="333"/>
      <c r="AN116" s="333"/>
      <c r="AO116" s="333"/>
      <c r="AP116" s="333"/>
      <c r="AQ116" s="333"/>
    </row>
    <row r="117" spans="1:43" s="77" customFormat="1" ht="42.75" customHeight="1" thickBot="1" x14ac:dyDescent="0.3">
      <c r="A117" s="1224"/>
      <c r="B117" s="1255"/>
      <c r="C117" s="1257"/>
      <c r="D117" s="1260"/>
      <c r="E117" s="1262"/>
      <c r="F117" s="1265"/>
      <c r="G117" s="619"/>
      <c r="H117" s="619"/>
      <c r="I117" s="450"/>
      <c r="J117" s="620"/>
      <c r="K117" s="619"/>
      <c r="L117" s="620"/>
      <c r="M117" s="1271"/>
      <c r="N117" s="1271"/>
      <c r="O117" s="891" t="s">
        <v>32</v>
      </c>
      <c r="P117" s="943"/>
      <c r="Q117" s="889" t="s">
        <v>10</v>
      </c>
      <c r="R117" s="943"/>
      <c r="S117" s="1271"/>
      <c r="T117" s="1271"/>
      <c r="U117" s="891" t="s">
        <v>32</v>
      </c>
      <c r="V117" s="176">
        <v>28</v>
      </c>
      <c r="W117" s="889" t="s">
        <v>10</v>
      </c>
      <c r="X117" s="943">
        <v>259.20100000000002</v>
      </c>
      <c r="Y117" s="887"/>
      <c r="Z117" s="887"/>
      <c r="AA117" s="877"/>
      <c r="AB117" s="1095"/>
      <c r="AC117" s="42"/>
      <c r="AD117" s="1061"/>
      <c r="AE117" s="333"/>
      <c r="AF117" s="333"/>
      <c r="AG117" s="333"/>
      <c r="AH117" s="333"/>
      <c r="AI117" s="333"/>
      <c r="AJ117" s="47"/>
      <c r="AK117" s="333"/>
      <c r="AL117" s="333"/>
      <c r="AM117" s="333"/>
      <c r="AN117" s="333"/>
      <c r="AO117" s="333"/>
      <c r="AP117" s="333"/>
      <c r="AQ117" s="333"/>
    </row>
    <row r="118" spans="1:43" s="73" customFormat="1" ht="25.7" hidden="1" customHeight="1" x14ac:dyDescent="0.25">
      <c r="A118" s="1223">
        <v>19</v>
      </c>
      <c r="B118" s="1270">
        <v>1960079</v>
      </c>
      <c r="C118" s="1243" t="s">
        <v>1187</v>
      </c>
      <c r="D118" s="1765" t="s">
        <v>1188</v>
      </c>
      <c r="E118" s="1242">
        <v>6.28</v>
      </c>
      <c r="F118" s="1264">
        <v>47912</v>
      </c>
      <c r="G118" s="1107"/>
      <c r="H118" s="1107"/>
      <c r="I118" s="981"/>
      <c r="J118" s="912"/>
      <c r="K118" s="944"/>
      <c r="L118" s="912"/>
      <c r="M118" s="228"/>
      <c r="N118" s="228"/>
      <c r="O118" s="228"/>
      <c r="P118" s="87"/>
      <c r="Q118" s="228"/>
      <c r="R118" s="912"/>
      <c r="S118" s="228"/>
      <c r="T118" s="228"/>
      <c r="U118" s="228"/>
      <c r="V118" s="87"/>
      <c r="W118" s="228"/>
      <c r="X118" s="87"/>
      <c r="Y118" s="228"/>
      <c r="Z118" s="578"/>
      <c r="AA118" s="578"/>
      <c r="AB118" s="578"/>
      <c r="AC118" s="578"/>
      <c r="AD118" s="578"/>
      <c r="AE118" s="24"/>
      <c r="AF118" s="24"/>
      <c r="AG118" s="64"/>
      <c r="AH118" s="1065"/>
      <c r="AI118" s="887"/>
      <c r="AJ118" s="969"/>
      <c r="AK118" s="1936" t="s">
        <v>1031</v>
      </c>
      <c r="AL118" s="1936" t="s">
        <v>1191</v>
      </c>
      <c r="AM118" s="1937" t="s">
        <v>7</v>
      </c>
      <c r="AN118" s="798"/>
      <c r="AO118" s="903" t="s">
        <v>2</v>
      </c>
      <c r="AP118" s="1958"/>
      <c r="AQ118" s="587"/>
    </row>
    <row r="119" spans="1:43" s="73" customFormat="1" ht="25.7" hidden="1" customHeight="1" thickBot="1" x14ac:dyDescent="0.3">
      <c r="A119" s="1224"/>
      <c r="B119" s="1231"/>
      <c r="C119" s="1194"/>
      <c r="D119" s="1590"/>
      <c r="E119" s="1239"/>
      <c r="F119" s="1327"/>
      <c r="G119" s="970"/>
      <c r="H119" s="970"/>
      <c r="I119" s="1113"/>
      <c r="J119" s="943"/>
      <c r="K119" s="889"/>
      <c r="L119" s="943"/>
      <c r="M119" s="220"/>
      <c r="N119" s="220"/>
      <c r="O119" s="220"/>
      <c r="P119" s="327"/>
      <c r="Q119" s="220"/>
      <c r="R119" s="943"/>
      <c r="S119" s="220"/>
      <c r="T119" s="220"/>
      <c r="U119" s="220"/>
      <c r="V119" s="327"/>
      <c r="W119" s="220"/>
      <c r="X119" s="327"/>
      <c r="Y119" s="220"/>
      <c r="Z119" s="504"/>
      <c r="AA119" s="504"/>
      <c r="AB119" s="504"/>
      <c r="AC119" s="504"/>
      <c r="AD119" s="504"/>
      <c r="AE119" s="24"/>
      <c r="AF119" s="24"/>
      <c r="AG119" s="64"/>
      <c r="AH119" s="882"/>
      <c r="AI119" s="887"/>
      <c r="AJ119" s="969"/>
      <c r="AK119" s="1936"/>
      <c r="AL119" s="1936"/>
      <c r="AM119" s="1937"/>
      <c r="AN119" s="902"/>
      <c r="AO119" s="903" t="s">
        <v>4</v>
      </c>
      <c r="AP119" s="1958"/>
      <c r="AQ119" s="198"/>
    </row>
    <row r="120" spans="1:43" s="73" customFormat="1" ht="25.15" customHeight="1" x14ac:dyDescent="0.25">
      <c r="A120" s="1235">
        <v>20</v>
      </c>
      <c r="B120" s="1272">
        <v>1960136</v>
      </c>
      <c r="C120" s="1193" t="s">
        <v>1189</v>
      </c>
      <c r="D120" s="1787" t="s">
        <v>1190</v>
      </c>
      <c r="E120" s="1325">
        <v>15.097</v>
      </c>
      <c r="F120" s="1326">
        <v>101560</v>
      </c>
      <c r="G120" s="968"/>
      <c r="H120" s="968"/>
      <c r="I120" s="1052"/>
      <c r="J120" s="910"/>
      <c r="K120" s="881"/>
      <c r="L120" s="910"/>
      <c r="M120" s="215"/>
      <c r="N120" s="215"/>
      <c r="O120" s="215"/>
      <c r="P120" s="502"/>
      <c r="Q120" s="215"/>
      <c r="R120" s="910"/>
      <c r="S120" s="2015"/>
      <c r="T120" s="2015"/>
      <c r="U120" s="2016"/>
      <c r="V120" s="938"/>
      <c r="W120" s="894"/>
      <c r="X120" s="811"/>
      <c r="Y120" s="215"/>
      <c r="Z120" s="503"/>
      <c r="AA120" s="503"/>
      <c r="AB120" s="503"/>
      <c r="AC120" s="503"/>
      <c r="AD120" s="503"/>
      <c r="AE120" s="1272" t="s">
        <v>1031</v>
      </c>
      <c r="AF120" s="1272" t="s">
        <v>1244</v>
      </c>
      <c r="AG120" s="1421" t="s">
        <v>7</v>
      </c>
      <c r="AH120" s="881">
        <v>15.097</v>
      </c>
      <c r="AI120" s="886" t="s">
        <v>2</v>
      </c>
      <c r="AJ120" s="1191">
        <v>200000</v>
      </c>
      <c r="AK120" s="466"/>
      <c r="AL120" s="325"/>
      <c r="AM120" s="325"/>
      <c r="AN120" s="325"/>
      <c r="AO120" s="325"/>
      <c r="AP120" s="326"/>
      <c r="AQ120" s="198"/>
    </row>
    <row r="121" spans="1:43" s="73" customFormat="1" ht="27.6" customHeight="1" thickBot="1" x14ac:dyDescent="0.3">
      <c r="A121" s="1223"/>
      <c r="B121" s="1151"/>
      <c r="C121" s="1322"/>
      <c r="D121" s="1788"/>
      <c r="E121" s="1238"/>
      <c r="F121" s="1783"/>
      <c r="G121" s="1103"/>
      <c r="H121" s="1103"/>
      <c r="I121" s="976"/>
      <c r="J121" s="1087"/>
      <c r="K121" s="1049"/>
      <c r="L121" s="1087"/>
      <c r="M121" s="231"/>
      <c r="N121" s="231"/>
      <c r="O121" s="231"/>
      <c r="P121" s="257"/>
      <c r="Q121" s="231"/>
      <c r="R121" s="1087"/>
      <c r="S121" s="224"/>
      <c r="T121" s="224"/>
      <c r="U121" s="659"/>
      <c r="V121" s="889"/>
      <c r="W121" s="888"/>
      <c r="X121" s="816"/>
      <c r="Y121" s="231"/>
      <c r="Z121" s="808"/>
      <c r="AA121" s="808"/>
      <c r="AB121" s="808"/>
      <c r="AC121" s="808"/>
      <c r="AD121" s="808"/>
      <c r="AE121" s="1151"/>
      <c r="AF121" s="1151"/>
      <c r="AG121" s="1679"/>
      <c r="AH121" s="1049">
        <v>101560</v>
      </c>
      <c r="AI121" s="899" t="s">
        <v>4</v>
      </c>
      <c r="AJ121" s="1717"/>
      <c r="AK121" s="466"/>
      <c r="AL121" s="325"/>
      <c r="AM121" s="325"/>
      <c r="AN121" s="325"/>
      <c r="AO121" s="325"/>
      <c r="AP121" s="326"/>
      <c r="AQ121" s="198"/>
    </row>
    <row r="122" spans="1:43" s="73" customFormat="1" ht="24.4" customHeight="1" x14ac:dyDescent="0.25">
      <c r="A122" s="1227">
        <v>21</v>
      </c>
      <c r="B122" s="1230">
        <v>1959942</v>
      </c>
      <c r="C122" s="1340" t="s">
        <v>916</v>
      </c>
      <c r="D122" s="1821" t="s">
        <v>218</v>
      </c>
      <c r="E122" s="1748">
        <v>11.185</v>
      </c>
      <c r="F122" s="1796">
        <v>70266</v>
      </c>
      <c r="G122" s="968"/>
      <c r="H122" s="968"/>
      <c r="I122" s="1052"/>
      <c r="J122" s="910"/>
      <c r="K122" s="881"/>
      <c r="L122" s="910"/>
      <c r="M122" s="215"/>
      <c r="N122" s="215"/>
      <c r="O122" s="215"/>
      <c r="P122" s="502"/>
      <c r="Q122" s="215"/>
      <c r="R122" s="910"/>
      <c r="S122" s="215"/>
      <c r="T122" s="215"/>
      <c r="U122" s="215"/>
      <c r="V122" s="502"/>
      <c r="W122" s="215"/>
      <c r="X122" s="502"/>
      <c r="Y122" s="215"/>
      <c r="Z122" s="503"/>
      <c r="AA122" s="503"/>
      <c r="AB122" s="503"/>
      <c r="AC122" s="503"/>
      <c r="AD122" s="503"/>
      <c r="AE122" s="1856" t="s">
        <v>1031</v>
      </c>
      <c r="AF122" s="1856" t="s">
        <v>1192</v>
      </c>
      <c r="AG122" s="1232" t="s">
        <v>7</v>
      </c>
      <c r="AH122" s="389">
        <v>11.185</v>
      </c>
      <c r="AI122" s="886" t="s">
        <v>2</v>
      </c>
      <c r="AJ122" s="2017">
        <v>182510</v>
      </c>
      <c r="AK122" s="586"/>
      <c r="AL122" s="325"/>
      <c r="AM122" s="325"/>
      <c r="AN122" s="325"/>
      <c r="AO122" s="325"/>
      <c r="AP122" s="326"/>
      <c r="AQ122" s="198"/>
    </row>
    <row r="123" spans="1:43" s="73" customFormat="1" ht="22.5" customHeight="1" thickBot="1" x14ac:dyDescent="0.3">
      <c r="A123" s="1224"/>
      <c r="B123" s="1231"/>
      <c r="C123" s="1194"/>
      <c r="D123" s="1822"/>
      <c r="E123" s="1239"/>
      <c r="F123" s="1327"/>
      <c r="G123" s="970"/>
      <c r="H123" s="970"/>
      <c r="I123" s="1113"/>
      <c r="J123" s="943"/>
      <c r="K123" s="889"/>
      <c r="L123" s="943"/>
      <c r="M123" s="220"/>
      <c r="N123" s="220"/>
      <c r="O123" s="220"/>
      <c r="P123" s="327"/>
      <c r="Q123" s="220"/>
      <c r="R123" s="943"/>
      <c r="S123" s="220"/>
      <c r="T123" s="220"/>
      <c r="U123" s="220"/>
      <c r="V123" s="327"/>
      <c r="W123" s="220"/>
      <c r="X123" s="327"/>
      <c r="Y123" s="220"/>
      <c r="Z123" s="504"/>
      <c r="AA123" s="504"/>
      <c r="AB123" s="504"/>
      <c r="AC123" s="504"/>
      <c r="AD123" s="504"/>
      <c r="AE123" s="1590"/>
      <c r="AF123" s="1590"/>
      <c r="AG123" s="1234"/>
      <c r="AH123" s="889">
        <v>70266</v>
      </c>
      <c r="AI123" s="888" t="s">
        <v>4</v>
      </c>
      <c r="AJ123" s="1773"/>
      <c r="AK123" s="466"/>
      <c r="AL123" s="325"/>
      <c r="AM123" s="325"/>
      <c r="AN123" s="325"/>
      <c r="AO123" s="325"/>
      <c r="AP123" s="326"/>
      <c r="AQ123" s="198"/>
    </row>
    <row r="124" spans="1:43" s="73" customFormat="1" ht="25.15" hidden="1" customHeight="1" x14ac:dyDescent="0.25">
      <c r="A124" s="1223">
        <v>25</v>
      </c>
      <c r="B124" s="1151">
        <v>1960110</v>
      </c>
      <c r="C124" s="1322" t="s">
        <v>337</v>
      </c>
      <c r="D124" s="1764" t="s">
        <v>622</v>
      </c>
      <c r="E124" s="1238">
        <v>9.9570000000000007</v>
      </c>
      <c r="F124" s="1783">
        <v>61084</v>
      </c>
      <c r="G124" s="1107"/>
      <c r="H124" s="1107"/>
      <c r="I124" s="981"/>
      <c r="J124" s="912"/>
      <c r="K124" s="944"/>
      <c r="L124" s="912"/>
      <c r="M124" s="228"/>
      <c r="N124" s="228"/>
      <c r="O124" s="228"/>
      <c r="P124" s="87"/>
      <c r="Q124" s="228"/>
      <c r="R124" s="912"/>
      <c r="S124" s="228"/>
      <c r="T124" s="228"/>
      <c r="U124" s="228"/>
      <c r="V124" s="87"/>
      <c r="W124" s="228"/>
      <c r="X124" s="87"/>
      <c r="Y124" s="228"/>
      <c r="Z124" s="578"/>
      <c r="AA124" s="578"/>
      <c r="AB124" s="578"/>
      <c r="AC124" s="578"/>
      <c r="AD124" s="578"/>
      <c r="AE124" s="1119"/>
      <c r="AF124" s="1119"/>
      <c r="AG124" s="1141"/>
      <c r="AH124" s="944"/>
      <c r="AI124" s="898"/>
      <c r="AJ124" s="1107"/>
      <c r="AK124" s="1959" t="s">
        <v>1031</v>
      </c>
      <c r="AL124" s="1961" t="s">
        <v>1193</v>
      </c>
      <c r="AM124" s="1962" t="s">
        <v>7</v>
      </c>
      <c r="AN124" s="745"/>
      <c r="AO124" s="799" t="s">
        <v>2</v>
      </c>
      <c r="AP124" s="1964"/>
      <c r="AQ124" s="198"/>
    </row>
    <row r="125" spans="1:43" s="73" customFormat="1" ht="25.15" hidden="1" customHeight="1" thickBot="1" x14ac:dyDescent="0.3">
      <c r="A125" s="1224"/>
      <c r="B125" s="1231"/>
      <c r="C125" s="1194"/>
      <c r="D125" s="1590"/>
      <c r="E125" s="1239"/>
      <c r="F125" s="1327"/>
      <c r="G125" s="970"/>
      <c r="H125" s="970"/>
      <c r="I125" s="1113"/>
      <c r="J125" s="943"/>
      <c r="K125" s="889"/>
      <c r="L125" s="943"/>
      <c r="M125" s="220"/>
      <c r="N125" s="220"/>
      <c r="O125" s="220"/>
      <c r="P125" s="327"/>
      <c r="Q125" s="220"/>
      <c r="R125" s="943"/>
      <c r="S125" s="220"/>
      <c r="T125" s="220"/>
      <c r="U125" s="220"/>
      <c r="V125" s="327"/>
      <c r="W125" s="220"/>
      <c r="X125" s="327"/>
      <c r="Y125" s="220"/>
      <c r="Z125" s="504"/>
      <c r="AA125" s="504"/>
      <c r="AB125" s="504"/>
      <c r="AC125" s="504"/>
      <c r="AD125" s="504"/>
      <c r="AE125" s="24"/>
      <c r="AF125" s="24"/>
      <c r="AG125" s="64"/>
      <c r="AH125" s="882"/>
      <c r="AI125" s="887"/>
      <c r="AJ125" s="969"/>
      <c r="AK125" s="1960"/>
      <c r="AL125" s="1939"/>
      <c r="AM125" s="1963"/>
      <c r="AN125" s="800"/>
      <c r="AO125" s="801" t="s">
        <v>4</v>
      </c>
      <c r="AP125" s="1965"/>
      <c r="AQ125" s="198"/>
    </row>
    <row r="126" spans="1:43" s="73" customFormat="1" ht="30.2" customHeight="1" x14ac:dyDescent="0.25">
      <c r="A126" s="1235">
        <v>22</v>
      </c>
      <c r="B126" s="1272">
        <v>1960331</v>
      </c>
      <c r="C126" s="1193" t="s">
        <v>1011</v>
      </c>
      <c r="D126" s="1787" t="s">
        <v>825</v>
      </c>
      <c r="E126" s="1325">
        <v>10.84</v>
      </c>
      <c r="F126" s="1326">
        <v>64652</v>
      </c>
      <c r="G126" s="968"/>
      <c r="H126" s="968"/>
      <c r="I126" s="1052"/>
      <c r="J126" s="910"/>
      <c r="K126" s="881"/>
      <c r="L126" s="910"/>
      <c r="M126" s="215"/>
      <c r="N126" s="215"/>
      <c r="O126" s="215"/>
      <c r="P126" s="502"/>
      <c r="Q126" s="215"/>
      <c r="R126" s="910"/>
      <c r="S126" s="215"/>
      <c r="T126" s="215"/>
      <c r="U126" s="215"/>
      <c r="V126" s="502"/>
      <c r="W126" s="215"/>
      <c r="X126" s="502"/>
      <c r="Y126" s="215"/>
      <c r="Z126" s="503"/>
      <c r="AA126" s="503"/>
      <c r="AB126" s="503"/>
      <c r="AC126" s="503"/>
      <c r="AD126" s="503"/>
      <c r="AE126" s="24"/>
      <c r="AF126" s="24"/>
      <c r="AG126" s="64"/>
      <c r="AH126" s="1065"/>
      <c r="AI126" s="887"/>
      <c r="AJ126" s="969"/>
      <c r="AK126" s="1948" t="s">
        <v>1031</v>
      </c>
      <c r="AL126" s="1272" t="s">
        <v>1195</v>
      </c>
      <c r="AM126" s="1289" t="s">
        <v>7</v>
      </c>
      <c r="AN126" s="1064">
        <v>4.34</v>
      </c>
      <c r="AO126" s="886" t="s">
        <v>2</v>
      </c>
      <c r="AP126" s="1772">
        <v>84057.469440000001</v>
      </c>
      <c r="AQ126" s="198"/>
    </row>
    <row r="127" spans="1:43" ht="23.1" customHeight="1" thickBot="1" x14ac:dyDescent="0.3">
      <c r="A127" s="1224"/>
      <c r="B127" s="1180"/>
      <c r="C127" s="1304"/>
      <c r="D127" s="1956"/>
      <c r="E127" s="1341"/>
      <c r="F127" s="1330"/>
      <c r="G127" s="252"/>
      <c r="H127" s="252"/>
      <c r="I127" s="210"/>
      <c r="J127" s="278"/>
      <c r="K127" s="252"/>
      <c r="L127" s="278"/>
      <c r="M127" s="252"/>
      <c r="N127" s="252"/>
      <c r="O127" s="279"/>
      <c r="P127" s="278"/>
      <c r="Q127" s="252"/>
      <c r="R127" s="630"/>
      <c r="S127" s="252"/>
      <c r="T127" s="252"/>
      <c r="U127" s="447"/>
      <c r="V127" s="448"/>
      <c r="W127" s="447"/>
      <c r="X127" s="448"/>
      <c r="Y127" s="885"/>
      <c r="Z127" s="885"/>
      <c r="AA127" s="950"/>
      <c r="AB127" s="1086"/>
      <c r="AC127" s="1125"/>
      <c r="AD127" s="352"/>
      <c r="AE127" s="24"/>
      <c r="AF127" s="24"/>
      <c r="AG127" s="64"/>
      <c r="AH127" s="882"/>
      <c r="AI127" s="887"/>
      <c r="AJ127" s="969"/>
      <c r="AK127" s="1966"/>
      <c r="AL127" s="1180"/>
      <c r="AM127" s="1328"/>
      <c r="AN127" s="1049">
        <f>AN126*6000</f>
        <v>26040</v>
      </c>
      <c r="AO127" s="899" t="s">
        <v>4</v>
      </c>
      <c r="AP127" s="1967"/>
      <c r="AQ127" s="32"/>
    </row>
    <row r="128" spans="1:43" ht="23.25" customHeight="1" x14ac:dyDescent="0.25">
      <c r="A128" s="1235">
        <v>23</v>
      </c>
      <c r="B128" s="1272">
        <v>1959945</v>
      </c>
      <c r="C128" s="1185" t="s">
        <v>67</v>
      </c>
      <c r="D128" s="1315" t="s">
        <v>444</v>
      </c>
      <c r="E128" s="1346">
        <f>20.37+0.83</f>
        <v>21.2</v>
      </c>
      <c r="F128" s="1236">
        <v>107881</v>
      </c>
      <c r="G128" s="982"/>
      <c r="H128" s="982"/>
      <c r="I128" s="1052"/>
      <c r="J128" s="1056"/>
      <c r="K128" s="886"/>
      <c r="L128" s="1056"/>
      <c r="M128" s="328"/>
      <c r="N128" s="328"/>
      <c r="O128" s="215"/>
      <c r="P128" s="329"/>
      <c r="Q128" s="328"/>
      <c r="R128" s="1056"/>
      <c r="S128" s="870"/>
      <c r="T128" s="870"/>
      <c r="U128" s="872"/>
      <c r="V128" s="871"/>
      <c r="W128" s="1126"/>
      <c r="X128" s="2018"/>
      <c r="Y128" s="1948" t="s">
        <v>1031</v>
      </c>
      <c r="Z128" s="1272" t="s">
        <v>1264</v>
      </c>
      <c r="AA128" s="1289" t="s">
        <v>7</v>
      </c>
      <c r="AB128" s="1064">
        <v>12.5</v>
      </c>
      <c r="AC128" s="886" t="s">
        <v>2</v>
      </c>
      <c r="AD128" s="1772">
        <v>222431.2164</v>
      </c>
      <c r="AE128" s="319"/>
      <c r="AF128" s="319"/>
      <c r="AG128" s="319"/>
      <c r="AH128" s="319"/>
      <c r="AI128" s="319"/>
      <c r="AJ128" s="319"/>
      <c r="AK128" s="1272" t="s">
        <v>1264</v>
      </c>
      <c r="AL128" s="1272" t="s">
        <v>1194</v>
      </c>
      <c r="AM128" s="1289" t="s">
        <v>7</v>
      </c>
      <c r="AN128" s="1064">
        <f>21.2-12.5</f>
        <v>8.6999999999999993</v>
      </c>
      <c r="AO128" s="886" t="s">
        <v>2</v>
      </c>
      <c r="AP128" s="1772">
        <v>173319.2</v>
      </c>
      <c r="AQ128" s="453"/>
    </row>
    <row r="129" spans="1:43" ht="23.1" customHeight="1" thickBot="1" x14ac:dyDescent="0.3">
      <c r="A129" s="1224"/>
      <c r="B129" s="1231"/>
      <c r="C129" s="1318"/>
      <c r="D129" s="1317"/>
      <c r="E129" s="1339"/>
      <c r="F129" s="1237"/>
      <c r="G129" s="242"/>
      <c r="H129" s="242"/>
      <c r="I129" s="450"/>
      <c r="J129" s="244"/>
      <c r="K129" s="242"/>
      <c r="L129" s="244"/>
      <c r="M129" s="242"/>
      <c r="N129" s="242"/>
      <c r="O129" s="243"/>
      <c r="P129" s="244"/>
      <c r="Q129" s="242"/>
      <c r="R129" s="637"/>
      <c r="S129" s="870"/>
      <c r="T129" s="870"/>
      <c r="U129" s="872"/>
      <c r="V129" s="1115"/>
      <c r="W129" s="1126"/>
      <c r="X129" s="2018"/>
      <c r="Y129" s="1949"/>
      <c r="Z129" s="1231"/>
      <c r="AA129" s="1234"/>
      <c r="AB129" s="889">
        <v>77462</v>
      </c>
      <c r="AC129" s="888" t="s">
        <v>4</v>
      </c>
      <c r="AD129" s="1773"/>
      <c r="AE129" s="507"/>
      <c r="AF129" s="973"/>
      <c r="AG129" s="890"/>
      <c r="AH129" s="505"/>
      <c r="AI129" s="888"/>
      <c r="AJ129" s="508"/>
      <c r="AK129" s="1231"/>
      <c r="AL129" s="1231"/>
      <c r="AM129" s="1234"/>
      <c r="AN129" s="176">
        <f>F128-AB129</f>
        <v>30419</v>
      </c>
      <c r="AO129" s="888" t="s">
        <v>4</v>
      </c>
      <c r="AP129" s="1773"/>
      <c r="AQ129" s="339"/>
    </row>
    <row r="130" spans="1:43" ht="52.7" customHeight="1" x14ac:dyDescent="0.25">
      <c r="A130" s="1235">
        <v>24</v>
      </c>
      <c r="B130" s="1272">
        <v>1960246</v>
      </c>
      <c r="C130" s="1185" t="s">
        <v>951</v>
      </c>
      <c r="D130" s="1315" t="s">
        <v>603</v>
      </c>
      <c r="E130" s="1346">
        <v>25.492000000000001</v>
      </c>
      <c r="F130" s="1236">
        <v>223204</v>
      </c>
      <c r="G130" s="982"/>
      <c r="H130" s="982"/>
      <c r="I130" s="1052"/>
      <c r="J130" s="1056"/>
      <c r="K130" s="886"/>
      <c r="L130" s="526"/>
      <c r="M130" s="328"/>
      <c r="N130" s="328"/>
      <c r="O130" s="215"/>
      <c r="P130" s="329"/>
      <c r="Q130" s="328"/>
      <c r="R130" s="526"/>
      <c r="S130" s="1046"/>
      <c r="T130" s="1046"/>
      <c r="U130" s="1046"/>
      <c r="V130" s="232"/>
      <c r="W130" s="1046"/>
      <c r="X130" s="232"/>
      <c r="Y130" s="328"/>
      <c r="Z130" s="506"/>
      <c r="AA130" s="506"/>
      <c r="AB130" s="506"/>
      <c r="AC130" s="506"/>
      <c r="AD130" s="506"/>
      <c r="AE130" s="506"/>
      <c r="AF130" s="506"/>
      <c r="AG130" s="506"/>
      <c r="AH130" s="506"/>
      <c r="AI130" s="506"/>
      <c r="AJ130" s="506"/>
      <c r="AK130" s="1589" t="s">
        <v>1031</v>
      </c>
      <c r="AL130" s="1589" t="s">
        <v>1258</v>
      </c>
      <c r="AM130" s="1289" t="s">
        <v>7</v>
      </c>
      <c r="AN130" s="389">
        <f>25.492-9</f>
        <v>16.492000000000001</v>
      </c>
      <c r="AO130" s="886" t="s">
        <v>2</v>
      </c>
      <c r="AP130" s="1774">
        <v>383749.67200000002</v>
      </c>
      <c r="AQ130" s="453"/>
    </row>
    <row r="131" spans="1:43" ht="23.1" customHeight="1" thickBot="1" x14ac:dyDescent="0.3">
      <c r="A131" s="1224"/>
      <c r="B131" s="1231"/>
      <c r="C131" s="1318"/>
      <c r="D131" s="1317"/>
      <c r="E131" s="1339"/>
      <c r="F131" s="1237"/>
      <c r="G131" s="242"/>
      <c r="H131" s="242"/>
      <c r="I131" s="450"/>
      <c r="J131" s="244"/>
      <c r="K131" s="242"/>
      <c r="L131" s="244"/>
      <c r="M131" s="242"/>
      <c r="N131" s="242"/>
      <c r="O131" s="243"/>
      <c r="P131" s="244"/>
      <c r="Q131" s="242"/>
      <c r="R131" s="637"/>
      <c r="S131" s="242"/>
      <c r="T131" s="242"/>
      <c r="U131" s="241"/>
      <c r="V131" s="240"/>
      <c r="W131" s="241"/>
      <c r="X131" s="240"/>
      <c r="Y131" s="890"/>
      <c r="Z131" s="890"/>
      <c r="AA131" s="932"/>
      <c r="AB131" s="451"/>
      <c r="AC131" s="173"/>
      <c r="AD131" s="452"/>
      <c r="AE131" s="507"/>
      <c r="AF131" s="973"/>
      <c r="AG131" s="890"/>
      <c r="AH131" s="505"/>
      <c r="AI131" s="888"/>
      <c r="AJ131" s="508"/>
      <c r="AK131" s="1764"/>
      <c r="AL131" s="1764"/>
      <c r="AM131" s="1233"/>
      <c r="AN131" s="1129">
        <f>AN130*6500</f>
        <v>107198</v>
      </c>
      <c r="AO131" s="899" t="s">
        <v>4</v>
      </c>
      <c r="AP131" s="1431"/>
      <c r="AQ131" s="339"/>
    </row>
    <row r="132" spans="1:43" ht="22.5" customHeight="1" x14ac:dyDescent="0.25">
      <c r="A132" s="1235">
        <v>25</v>
      </c>
      <c r="B132" s="1272">
        <v>1959992</v>
      </c>
      <c r="C132" s="1193" t="s">
        <v>787</v>
      </c>
      <c r="D132" s="1273" t="s">
        <v>820</v>
      </c>
      <c r="E132" s="1346">
        <v>4.34</v>
      </c>
      <c r="F132" s="1236">
        <v>29240</v>
      </c>
      <c r="G132" s="982"/>
      <c r="H132" s="982"/>
      <c r="I132" s="1052"/>
      <c r="J132" s="1056"/>
      <c r="K132" s="886"/>
      <c r="L132" s="910"/>
      <c r="M132" s="328"/>
      <c r="N132" s="328"/>
      <c r="O132" s="215"/>
      <c r="P132" s="329"/>
      <c r="Q132" s="328"/>
      <c r="R132" s="526"/>
      <c r="S132" s="328"/>
      <c r="T132" s="328"/>
      <c r="U132" s="328"/>
      <c r="V132" s="329"/>
      <c r="W132" s="328"/>
      <c r="X132" s="329"/>
      <c r="Y132" s="328"/>
      <c r="Z132" s="506"/>
      <c r="AA132" s="506"/>
      <c r="AB132" s="506"/>
      <c r="AC132" s="506"/>
      <c r="AD132" s="506"/>
      <c r="AE132" s="1272" t="s">
        <v>1031</v>
      </c>
      <c r="AF132" s="1272" t="s">
        <v>1195</v>
      </c>
      <c r="AG132" s="1289" t="s">
        <v>7</v>
      </c>
      <c r="AH132" s="1064">
        <v>4.34</v>
      </c>
      <c r="AI132" s="886" t="s">
        <v>2</v>
      </c>
      <c r="AJ132" s="1762">
        <v>80800</v>
      </c>
      <c r="AK132" s="650"/>
      <c r="AL132" s="650"/>
      <c r="AM132" s="64"/>
      <c r="AN132" s="1073"/>
      <c r="AO132" s="887"/>
      <c r="AP132" s="826"/>
      <c r="AQ132" s="453"/>
    </row>
    <row r="133" spans="1:43" ht="23.1" customHeight="1" thickBot="1" x14ac:dyDescent="0.3">
      <c r="A133" s="1224"/>
      <c r="B133" s="1231"/>
      <c r="C133" s="1194"/>
      <c r="D133" s="1274"/>
      <c r="E133" s="1339"/>
      <c r="F133" s="1237"/>
      <c r="G133" s="242"/>
      <c r="H133" s="242"/>
      <c r="I133" s="450"/>
      <c r="J133" s="244"/>
      <c r="K133" s="242"/>
      <c r="L133" s="244"/>
      <c r="M133" s="242"/>
      <c r="N133" s="242"/>
      <c r="O133" s="243"/>
      <c r="P133" s="244"/>
      <c r="Q133" s="242"/>
      <c r="R133" s="637"/>
      <c r="S133" s="242"/>
      <c r="T133" s="242"/>
      <c r="U133" s="241"/>
      <c r="V133" s="240"/>
      <c r="W133" s="241"/>
      <c r="X133" s="240"/>
      <c r="Y133" s="890"/>
      <c r="Z133" s="890"/>
      <c r="AA133" s="932"/>
      <c r="AB133" s="451"/>
      <c r="AC133" s="173"/>
      <c r="AD133" s="452"/>
      <c r="AE133" s="1231"/>
      <c r="AF133" s="1231"/>
      <c r="AG133" s="1234"/>
      <c r="AH133" s="889">
        <v>29240</v>
      </c>
      <c r="AI133" s="888" t="s">
        <v>4</v>
      </c>
      <c r="AJ133" s="1763"/>
      <c r="AK133" s="650"/>
      <c r="AL133" s="650"/>
      <c r="AM133" s="64"/>
      <c r="AN133" s="1073"/>
      <c r="AO133" s="887"/>
      <c r="AP133" s="826"/>
      <c r="AQ133" s="339"/>
    </row>
    <row r="134" spans="1:43" ht="27" customHeight="1" x14ac:dyDescent="0.25">
      <c r="A134" s="1235">
        <v>26</v>
      </c>
      <c r="B134" s="1240">
        <v>1960014</v>
      </c>
      <c r="C134" s="1185" t="s">
        <v>64</v>
      </c>
      <c r="D134" s="1273" t="s">
        <v>214</v>
      </c>
      <c r="E134" s="1346">
        <v>9.3460000000000001</v>
      </c>
      <c r="F134" s="1236">
        <v>54755</v>
      </c>
      <c r="G134" s="982"/>
      <c r="H134" s="982"/>
      <c r="I134" s="1052"/>
      <c r="J134" s="1056"/>
      <c r="K134" s="886"/>
      <c r="L134" s="1056"/>
      <c r="M134" s="328"/>
      <c r="N134" s="328"/>
      <c r="O134" s="215"/>
      <c r="P134" s="329"/>
      <c r="Q134" s="328"/>
      <c r="R134" s="1056"/>
      <c r="S134" s="328"/>
      <c r="T134" s="328"/>
      <c r="U134" s="328"/>
      <c r="V134" s="329"/>
      <c r="W134" s="328"/>
      <c r="X134" s="329"/>
      <c r="Y134" s="506"/>
      <c r="Z134" s="506"/>
      <c r="AA134" s="506"/>
      <c r="AB134" s="506"/>
      <c r="AC134" s="506"/>
      <c r="AD134" s="506"/>
      <c r="AE134" s="506"/>
      <c r="AF134" s="506"/>
      <c r="AG134" s="506"/>
      <c r="AH134" s="506"/>
      <c r="AI134" s="506"/>
      <c r="AJ134" s="506"/>
      <c r="AK134" s="1764" t="s">
        <v>1031</v>
      </c>
      <c r="AL134" s="1764" t="s">
        <v>1259</v>
      </c>
      <c r="AM134" s="1233" t="s">
        <v>7</v>
      </c>
      <c r="AN134" s="1079">
        <v>3.008</v>
      </c>
      <c r="AO134" s="898" t="s">
        <v>2</v>
      </c>
      <c r="AP134" s="1431">
        <v>69500.687999999995</v>
      </c>
      <c r="AQ134" s="805"/>
    </row>
    <row r="135" spans="1:43" ht="23.1" customHeight="1" thickBot="1" x14ac:dyDescent="0.3">
      <c r="A135" s="1224"/>
      <c r="B135" s="1241"/>
      <c r="C135" s="1318"/>
      <c r="D135" s="1274"/>
      <c r="E135" s="1339"/>
      <c r="F135" s="1237"/>
      <c r="G135" s="252"/>
      <c r="H135" s="252"/>
      <c r="I135" s="210"/>
      <c r="J135" s="244"/>
      <c r="K135" s="242"/>
      <c r="L135" s="244"/>
      <c r="M135" s="242"/>
      <c r="N135" s="242"/>
      <c r="O135" s="243"/>
      <c r="P135" s="244"/>
      <c r="Q135" s="242"/>
      <c r="R135" s="637"/>
      <c r="S135" s="242"/>
      <c r="T135" s="242"/>
      <c r="U135" s="644"/>
      <c r="V135" s="645"/>
      <c r="W135" s="644"/>
      <c r="X135" s="645"/>
      <c r="Y135" s="992"/>
      <c r="Z135" s="992"/>
      <c r="AA135" s="960"/>
      <c r="AB135" s="646"/>
      <c r="AC135" s="647"/>
      <c r="AD135" s="648"/>
      <c r="AE135" s="449"/>
      <c r="AF135" s="308"/>
      <c r="AG135" s="308"/>
      <c r="AH135" s="308"/>
      <c r="AI135" s="308"/>
      <c r="AJ135" s="308"/>
      <c r="AK135" s="1775"/>
      <c r="AL135" s="1775"/>
      <c r="AM135" s="1447"/>
      <c r="AN135" s="1129">
        <f>AN134*6500</f>
        <v>19552</v>
      </c>
      <c r="AO135" s="899" t="s">
        <v>4</v>
      </c>
      <c r="AP135" s="1431"/>
      <c r="AQ135" s="339"/>
    </row>
    <row r="136" spans="1:43" ht="19.899999999999999" customHeight="1" x14ac:dyDescent="0.25">
      <c r="A136" s="1227">
        <v>27</v>
      </c>
      <c r="B136" s="1578">
        <v>1959994</v>
      </c>
      <c r="C136" s="1256" t="s">
        <v>792</v>
      </c>
      <c r="D136" s="1258" t="s">
        <v>833</v>
      </c>
      <c r="E136" s="1261">
        <v>3.52</v>
      </c>
      <c r="F136" s="1263">
        <v>25588</v>
      </c>
      <c r="G136" s="986"/>
      <c r="H136" s="986"/>
      <c r="I136" s="1052"/>
      <c r="J136" s="910"/>
      <c r="K136" s="886"/>
      <c r="L136" s="910"/>
      <c r="M136" s="214"/>
      <c r="N136" s="214"/>
      <c r="O136" s="215"/>
      <c r="P136" s="216"/>
      <c r="Q136" s="214"/>
      <c r="R136" s="2019"/>
      <c r="S136" s="1253" t="s">
        <v>1031</v>
      </c>
      <c r="T136" s="1253" t="s">
        <v>1242</v>
      </c>
      <c r="U136" s="1207" t="s">
        <v>7</v>
      </c>
      <c r="V136" s="929"/>
      <c r="W136" s="964" t="s">
        <v>2</v>
      </c>
      <c r="X136" s="1461">
        <v>27268.11189</v>
      </c>
      <c r="Y136" s="1253" t="s">
        <v>1031</v>
      </c>
      <c r="Z136" s="1253" t="s">
        <v>1242</v>
      </c>
      <c r="AA136" s="1207" t="s">
        <v>7</v>
      </c>
      <c r="AB136" s="929">
        <v>3.52</v>
      </c>
      <c r="AC136" s="964" t="s">
        <v>2</v>
      </c>
      <c r="AD136" s="1461">
        <v>25034.641879999999</v>
      </c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316"/>
      <c r="AQ136" s="8"/>
    </row>
    <row r="137" spans="1:43" ht="25.15" customHeight="1" thickBot="1" x14ac:dyDescent="0.3">
      <c r="A137" s="1224"/>
      <c r="B137" s="1271"/>
      <c r="C137" s="1278"/>
      <c r="D137" s="1634"/>
      <c r="E137" s="1517"/>
      <c r="F137" s="2020"/>
      <c r="G137" s="987"/>
      <c r="H137" s="987"/>
      <c r="I137" s="1088"/>
      <c r="J137" s="943"/>
      <c r="K137" s="1000"/>
      <c r="L137" s="943"/>
      <c r="M137" s="219"/>
      <c r="N137" s="219"/>
      <c r="O137" s="220"/>
      <c r="P137" s="203"/>
      <c r="Q137" s="219"/>
      <c r="R137" s="2021"/>
      <c r="S137" s="1255"/>
      <c r="T137" s="1255"/>
      <c r="U137" s="1469"/>
      <c r="V137" s="943"/>
      <c r="W137" s="965" t="s">
        <v>3</v>
      </c>
      <c r="X137" s="1283"/>
      <c r="Y137" s="1255"/>
      <c r="Z137" s="1255"/>
      <c r="AA137" s="1469"/>
      <c r="AB137" s="943">
        <v>24189.200000000001</v>
      </c>
      <c r="AC137" s="965" t="s">
        <v>3</v>
      </c>
      <c r="AD137" s="1283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316"/>
      <c r="AQ137" s="8"/>
    </row>
    <row r="138" spans="1:43" ht="19.899999999999999" customHeight="1" x14ac:dyDescent="0.25">
      <c r="A138" s="1227">
        <v>28</v>
      </c>
      <c r="B138" s="1578">
        <v>1959931</v>
      </c>
      <c r="C138" s="1256" t="s">
        <v>1240</v>
      </c>
      <c r="D138" s="1253" t="s">
        <v>1241</v>
      </c>
      <c r="E138" s="1261">
        <v>3.4980000000000002</v>
      </c>
      <c r="F138" s="1523">
        <v>18745</v>
      </c>
      <c r="G138" s="333"/>
      <c r="H138" s="333"/>
      <c r="I138" s="134"/>
      <c r="J138" s="278"/>
      <c r="K138" s="252"/>
      <c r="L138" s="278"/>
      <c r="M138" s="252"/>
      <c r="N138" s="252"/>
      <c r="O138" s="279"/>
      <c r="P138" s="278"/>
      <c r="Q138" s="252"/>
      <c r="R138" s="630"/>
      <c r="S138" s="1578" t="s">
        <v>1031</v>
      </c>
      <c r="T138" s="1578" t="s">
        <v>1260</v>
      </c>
      <c r="U138" s="1207" t="s">
        <v>7</v>
      </c>
      <c r="V138" s="1064">
        <v>3.4980000000000002</v>
      </c>
      <c r="W138" s="886" t="s">
        <v>2</v>
      </c>
      <c r="X138" s="1191">
        <f>45363.62672-X140-X141</f>
        <v>44811.314720000002</v>
      </c>
      <c r="Y138" s="887"/>
      <c r="Z138" s="887"/>
      <c r="AA138" s="877"/>
      <c r="AB138" s="1095"/>
      <c r="AC138" s="42"/>
      <c r="AD138" s="1061"/>
      <c r="AE138" s="32"/>
      <c r="AF138" s="32"/>
      <c r="AG138" s="32"/>
      <c r="AH138" s="32"/>
      <c r="AI138" s="32"/>
      <c r="AJ138" s="32"/>
      <c r="AK138" s="1073"/>
      <c r="AL138" s="1073"/>
      <c r="AM138" s="887"/>
      <c r="AN138" s="1073"/>
      <c r="AO138" s="887"/>
      <c r="AP138" s="649"/>
      <c r="AQ138" s="339"/>
    </row>
    <row r="139" spans="1:43" ht="21.2" customHeight="1" x14ac:dyDescent="0.25">
      <c r="A139" s="1223"/>
      <c r="B139" s="1151"/>
      <c r="C139" s="1322"/>
      <c r="D139" s="1233"/>
      <c r="E139" s="1238"/>
      <c r="F139" s="1524"/>
      <c r="G139" s="333"/>
      <c r="H139" s="333"/>
      <c r="I139" s="134"/>
      <c r="J139" s="278"/>
      <c r="K139" s="252"/>
      <c r="L139" s="278"/>
      <c r="M139" s="252"/>
      <c r="N139" s="252"/>
      <c r="O139" s="279"/>
      <c r="P139" s="278"/>
      <c r="Q139" s="252"/>
      <c r="R139" s="630"/>
      <c r="S139" s="1151"/>
      <c r="T139" s="1151"/>
      <c r="U139" s="1157"/>
      <c r="V139" s="680">
        <v>22201</v>
      </c>
      <c r="W139" s="887" t="s">
        <v>3</v>
      </c>
      <c r="X139" s="1192"/>
      <c r="Y139" s="887"/>
      <c r="Z139" s="887"/>
      <c r="AA139" s="877"/>
      <c r="AB139" s="1095"/>
      <c r="AC139" s="42"/>
      <c r="AD139" s="1061"/>
      <c r="AE139" s="32"/>
      <c r="AF139" s="32"/>
      <c r="AG139" s="32"/>
      <c r="AH139" s="32"/>
      <c r="AI139" s="32"/>
      <c r="AJ139" s="32"/>
      <c r="AK139" s="1073"/>
      <c r="AL139" s="1073"/>
      <c r="AM139" s="887"/>
      <c r="AN139" s="1073"/>
      <c r="AO139" s="887"/>
      <c r="AP139" s="649"/>
      <c r="AQ139" s="339"/>
    </row>
    <row r="140" spans="1:43" ht="21.2" customHeight="1" x14ac:dyDescent="0.25">
      <c r="A140" s="1223"/>
      <c r="B140" s="1151"/>
      <c r="C140" s="1322"/>
      <c r="D140" s="1233"/>
      <c r="E140" s="1238"/>
      <c r="F140" s="1524"/>
      <c r="G140" s="333"/>
      <c r="H140" s="333"/>
      <c r="I140" s="134"/>
      <c r="J140" s="713"/>
      <c r="K140" s="714"/>
      <c r="L140" s="713"/>
      <c r="M140" s="714"/>
      <c r="N140" s="714"/>
      <c r="O140" s="715"/>
      <c r="P140" s="713"/>
      <c r="Q140" s="714"/>
      <c r="R140" s="716"/>
      <c r="S140" s="1151"/>
      <c r="T140" s="1151"/>
      <c r="U140" s="1053" t="s">
        <v>8</v>
      </c>
      <c r="V140" s="680">
        <v>6.7110000000000003</v>
      </c>
      <c r="W140" s="882" t="s">
        <v>2</v>
      </c>
      <c r="X140" s="461">
        <v>98.662000000000006</v>
      </c>
      <c r="Y140" s="887"/>
      <c r="Z140" s="887"/>
      <c r="AA140" s="877"/>
      <c r="AB140" s="1095"/>
      <c r="AC140" s="42"/>
      <c r="AD140" s="1061"/>
      <c r="AE140" s="32"/>
      <c r="AF140" s="32"/>
      <c r="AG140" s="32"/>
      <c r="AH140" s="32"/>
      <c r="AI140" s="32"/>
      <c r="AJ140" s="32"/>
      <c r="AK140" s="1073"/>
      <c r="AL140" s="1073"/>
      <c r="AM140" s="887"/>
      <c r="AN140" s="1073"/>
      <c r="AO140" s="887"/>
      <c r="AP140" s="649"/>
      <c r="AQ140" s="339"/>
    </row>
    <row r="141" spans="1:43" ht="33.75" customHeight="1" thickBot="1" x14ac:dyDescent="0.3">
      <c r="A141" s="1224"/>
      <c r="B141" s="1152"/>
      <c r="C141" s="1257"/>
      <c r="D141" s="1368"/>
      <c r="E141" s="1262"/>
      <c r="F141" s="1204"/>
      <c r="G141" s="333"/>
      <c r="H141" s="333"/>
      <c r="I141" s="134"/>
      <c r="J141" s="713"/>
      <c r="K141" s="714"/>
      <c r="L141" s="713"/>
      <c r="M141" s="714"/>
      <c r="N141" s="714"/>
      <c r="O141" s="715"/>
      <c r="P141" s="713"/>
      <c r="Q141" s="714"/>
      <c r="R141" s="716"/>
      <c r="S141" s="1152"/>
      <c r="T141" s="1152"/>
      <c r="U141" s="891" t="s">
        <v>32</v>
      </c>
      <c r="V141" s="89">
        <v>71</v>
      </c>
      <c r="W141" s="889" t="s">
        <v>10</v>
      </c>
      <c r="X141" s="461">
        <v>453.65</v>
      </c>
      <c r="Y141" s="887"/>
      <c r="Z141" s="887"/>
      <c r="AA141" s="877"/>
      <c r="AB141" s="1095"/>
      <c r="AC141" s="42"/>
      <c r="AD141" s="1061"/>
      <c r="AE141" s="32"/>
      <c r="AF141" s="32"/>
      <c r="AG141" s="32"/>
      <c r="AH141" s="32"/>
      <c r="AI141" s="32"/>
      <c r="AJ141" s="32"/>
      <c r="AK141" s="1073"/>
      <c r="AL141" s="1073"/>
      <c r="AM141" s="887"/>
      <c r="AN141" s="1073"/>
      <c r="AO141" s="887"/>
      <c r="AP141" s="649"/>
      <c r="AQ141" s="339"/>
    </row>
    <row r="142" spans="1:43" ht="31.5" hidden="1" customHeight="1" x14ac:dyDescent="0.25">
      <c r="A142" s="1227">
        <f t="shared" ref="A142" si="0">A138+1</f>
        <v>29</v>
      </c>
      <c r="B142" s="1142">
        <v>1960392</v>
      </c>
      <c r="C142" s="1143" t="s">
        <v>101</v>
      </c>
      <c r="D142" s="1668" t="s">
        <v>121</v>
      </c>
      <c r="E142" s="1446">
        <v>19.695</v>
      </c>
      <c r="F142" s="2022">
        <v>124737</v>
      </c>
      <c r="G142" s="421"/>
      <c r="H142" s="421"/>
      <c r="I142" s="259"/>
      <c r="J142" s="928"/>
      <c r="K142" s="876"/>
      <c r="L142" s="928"/>
      <c r="M142" s="56"/>
      <c r="N142" s="56"/>
      <c r="O142" s="206"/>
      <c r="P142" s="914"/>
      <c r="Q142" s="876"/>
      <c r="R142" s="152"/>
      <c r="S142" s="1142" t="s">
        <v>1040</v>
      </c>
      <c r="T142" s="1142" t="s">
        <v>1041</v>
      </c>
      <c r="U142" s="1157" t="s">
        <v>7</v>
      </c>
      <c r="V142" s="914">
        <f>6.807-6.807</f>
        <v>0</v>
      </c>
      <c r="W142" s="876" t="s">
        <v>2</v>
      </c>
      <c r="X142" s="1766">
        <f>V142*12300</f>
        <v>0</v>
      </c>
      <c r="Y142" s="887"/>
      <c r="Z142" s="887"/>
      <c r="AA142" s="877"/>
      <c r="AB142" s="1095"/>
      <c r="AC142" s="42"/>
      <c r="AD142" s="1061"/>
      <c r="AE142" s="32"/>
      <c r="AF142" s="32"/>
      <c r="AG142" s="32"/>
      <c r="AH142" s="32"/>
      <c r="AI142" s="32"/>
      <c r="AJ142" s="32"/>
      <c r="AK142" s="1073"/>
      <c r="AL142" s="1073"/>
      <c r="AM142" s="887"/>
      <c r="AN142" s="1073"/>
      <c r="AO142" s="887"/>
      <c r="AP142" s="649"/>
      <c r="AQ142" s="339"/>
    </row>
    <row r="143" spans="1:43" ht="18.75" hidden="1" customHeight="1" thickBot="1" x14ac:dyDescent="0.3">
      <c r="A143" s="1223"/>
      <c r="B143" s="1997"/>
      <c r="C143" s="2023"/>
      <c r="D143" s="2024"/>
      <c r="E143" s="1994"/>
      <c r="F143" s="2025"/>
      <c r="G143" s="725"/>
      <c r="H143" s="725"/>
      <c r="I143" s="1138"/>
      <c r="J143" s="1026"/>
      <c r="K143" s="1124"/>
      <c r="L143" s="1026"/>
      <c r="M143" s="726"/>
      <c r="N143" s="726"/>
      <c r="O143" s="721"/>
      <c r="P143" s="1026"/>
      <c r="Q143" s="1124"/>
      <c r="R143" s="727"/>
      <c r="S143" s="1997"/>
      <c r="T143" s="1997"/>
      <c r="U143" s="1863"/>
      <c r="V143" s="1026">
        <f>44099-44099</f>
        <v>0</v>
      </c>
      <c r="W143" s="1124" t="s">
        <v>3</v>
      </c>
      <c r="X143" s="1767"/>
      <c r="Y143" s="887"/>
      <c r="Z143" s="887"/>
      <c r="AA143" s="877"/>
      <c r="AB143" s="1095"/>
      <c r="AC143" s="42"/>
      <c r="AD143" s="1061"/>
      <c r="AE143" s="32"/>
      <c r="AF143" s="32"/>
      <c r="AG143" s="32"/>
      <c r="AH143" s="32"/>
      <c r="AI143" s="32"/>
      <c r="AJ143" s="32"/>
      <c r="AK143" s="1073"/>
      <c r="AL143" s="1073"/>
      <c r="AM143" s="887"/>
      <c r="AN143" s="1073"/>
      <c r="AO143" s="887"/>
      <c r="AP143" s="649"/>
      <c r="AQ143" s="339"/>
    </row>
    <row r="144" spans="1:43" ht="23.25" customHeight="1" x14ac:dyDescent="0.25">
      <c r="A144" s="1331">
        <v>29</v>
      </c>
      <c r="B144" s="1319"/>
      <c r="C144" s="1185" t="s">
        <v>1250</v>
      </c>
      <c r="D144" s="1319" t="s">
        <v>1251</v>
      </c>
      <c r="E144" s="1312">
        <v>3.57</v>
      </c>
      <c r="F144" s="1826">
        <f>V145</f>
        <v>23918</v>
      </c>
      <c r="G144" s="732"/>
      <c r="H144" s="732"/>
      <c r="I144" s="733"/>
      <c r="J144" s="734"/>
      <c r="K144" s="732"/>
      <c r="L144" s="734"/>
      <c r="M144" s="732"/>
      <c r="N144" s="732"/>
      <c r="O144" s="735"/>
      <c r="P144" s="734"/>
      <c r="Q144" s="732"/>
      <c r="R144" s="736"/>
      <c r="S144" s="1319" t="s">
        <v>1031</v>
      </c>
      <c r="T144" s="1319" t="s">
        <v>1256</v>
      </c>
      <c r="U144" s="1207" t="s">
        <v>7</v>
      </c>
      <c r="V144" s="247">
        <v>3.57</v>
      </c>
      <c r="W144" s="964" t="s">
        <v>2</v>
      </c>
      <c r="X144" s="1191">
        <f>50279.20152-X146-X147-X148</f>
        <v>48331.536520000009</v>
      </c>
      <c r="Y144" s="317"/>
      <c r="Z144" s="64"/>
      <c r="AA144" s="206"/>
      <c r="AB144" s="104"/>
      <c r="AC144" s="42"/>
      <c r="AD144" s="535"/>
      <c r="AE144" s="449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684"/>
      <c r="AQ144" s="308"/>
    </row>
    <row r="145" spans="1:59" ht="23.25" customHeight="1" x14ac:dyDescent="0.25">
      <c r="A145" s="1332"/>
      <c r="B145" s="1320"/>
      <c r="C145" s="1186"/>
      <c r="D145" s="1320"/>
      <c r="E145" s="1313"/>
      <c r="F145" s="1827"/>
      <c r="G145" s="333"/>
      <c r="H145" s="333"/>
      <c r="I145" s="134"/>
      <c r="J145" s="332"/>
      <c r="K145" s="333"/>
      <c r="L145" s="332"/>
      <c r="M145" s="333"/>
      <c r="N145" s="333"/>
      <c r="O145" s="731"/>
      <c r="P145" s="332"/>
      <c r="Q145" s="333"/>
      <c r="R145" s="629"/>
      <c r="S145" s="1320"/>
      <c r="T145" s="1320"/>
      <c r="U145" s="1157"/>
      <c r="V145" s="1053">
        <v>23918</v>
      </c>
      <c r="W145" s="876" t="s">
        <v>3</v>
      </c>
      <c r="X145" s="1192"/>
      <c r="Y145" s="317"/>
      <c r="Z145" s="64"/>
      <c r="AA145" s="206"/>
      <c r="AB145" s="104"/>
      <c r="AC145" s="42"/>
      <c r="AD145" s="535"/>
      <c r="AE145" s="449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684"/>
      <c r="AQ145" s="308"/>
    </row>
    <row r="146" spans="1:59" ht="23.25" customHeight="1" x14ac:dyDescent="0.25">
      <c r="A146" s="1332"/>
      <c r="B146" s="1320"/>
      <c r="C146" s="1186"/>
      <c r="D146" s="1320"/>
      <c r="E146" s="1313"/>
      <c r="F146" s="1827"/>
      <c r="G146" s="333"/>
      <c r="H146" s="333"/>
      <c r="I146" s="134"/>
      <c r="J146" s="332"/>
      <c r="K146" s="333"/>
      <c r="L146" s="332"/>
      <c r="M146" s="333"/>
      <c r="N146" s="333"/>
      <c r="O146" s="731"/>
      <c r="P146" s="332"/>
      <c r="Q146" s="333"/>
      <c r="R146" s="629"/>
      <c r="S146" s="1320"/>
      <c r="T146" s="1320"/>
      <c r="U146" s="1053" t="s">
        <v>8</v>
      </c>
      <c r="V146" s="680">
        <v>9.2614000000000001</v>
      </c>
      <c r="W146" s="882" t="s">
        <v>2</v>
      </c>
      <c r="X146" s="923">
        <v>148.71</v>
      </c>
      <c r="Y146" s="719"/>
      <c r="Z146" s="720"/>
      <c r="AA146" s="721"/>
      <c r="AB146" s="722"/>
      <c r="AC146" s="710"/>
      <c r="AD146" s="723"/>
      <c r="AE146" s="449"/>
      <c r="AF146" s="724"/>
      <c r="AG146" s="724"/>
      <c r="AH146" s="724"/>
      <c r="AI146" s="724"/>
      <c r="AJ146" s="724"/>
      <c r="AK146" s="724"/>
      <c r="AL146" s="724"/>
      <c r="AM146" s="724"/>
      <c r="AN146" s="724"/>
      <c r="AO146" s="724"/>
      <c r="AP146" s="712"/>
      <c r="AQ146" s="724"/>
    </row>
    <row r="147" spans="1:59" ht="38.25" customHeight="1" x14ac:dyDescent="0.25">
      <c r="A147" s="1332"/>
      <c r="B147" s="1320"/>
      <c r="C147" s="1186"/>
      <c r="D147" s="1320"/>
      <c r="E147" s="1313"/>
      <c r="F147" s="1827"/>
      <c r="G147" s="333"/>
      <c r="H147" s="333"/>
      <c r="I147" s="134"/>
      <c r="J147" s="332"/>
      <c r="K147" s="333"/>
      <c r="L147" s="332"/>
      <c r="M147" s="333"/>
      <c r="N147" s="333"/>
      <c r="O147" s="731"/>
      <c r="P147" s="332"/>
      <c r="Q147" s="333"/>
      <c r="R147" s="629"/>
      <c r="S147" s="1320"/>
      <c r="T147" s="1320"/>
      <c r="U147" s="877" t="s">
        <v>32</v>
      </c>
      <c r="V147" s="1053">
        <v>115</v>
      </c>
      <c r="W147" s="882" t="s">
        <v>10</v>
      </c>
      <c r="X147" s="923">
        <v>853.30799999999999</v>
      </c>
      <c r="Y147" s="719"/>
      <c r="Z147" s="720"/>
      <c r="AA147" s="721"/>
      <c r="AB147" s="722"/>
      <c r="AC147" s="710"/>
      <c r="AD147" s="723"/>
      <c r="AE147" s="449"/>
      <c r="AF147" s="724"/>
      <c r="AG147" s="724"/>
      <c r="AH147" s="724"/>
      <c r="AI147" s="724"/>
      <c r="AJ147" s="724"/>
      <c r="AK147" s="724"/>
      <c r="AL147" s="724"/>
      <c r="AM147" s="724"/>
      <c r="AN147" s="724"/>
      <c r="AO147" s="724"/>
      <c r="AP147" s="712"/>
      <c r="AQ147" s="724"/>
    </row>
    <row r="148" spans="1:59" ht="42" customHeight="1" thickBot="1" x14ac:dyDescent="0.3">
      <c r="A148" s="1333"/>
      <c r="B148" s="1321"/>
      <c r="C148" s="1318"/>
      <c r="D148" s="1321"/>
      <c r="E148" s="1314"/>
      <c r="F148" s="1828"/>
      <c r="G148" s="242"/>
      <c r="H148" s="242"/>
      <c r="I148" s="450"/>
      <c r="J148" s="244"/>
      <c r="K148" s="242"/>
      <c r="L148" s="244"/>
      <c r="M148" s="242"/>
      <c r="N148" s="242"/>
      <c r="O148" s="243"/>
      <c r="P148" s="244"/>
      <c r="Q148" s="242"/>
      <c r="R148" s="637"/>
      <c r="S148" s="1321"/>
      <c r="T148" s="1321"/>
      <c r="U148" s="888" t="s">
        <v>1219</v>
      </c>
      <c r="V148" s="1113">
        <v>300</v>
      </c>
      <c r="W148" s="965" t="s">
        <v>1080</v>
      </c>
      <c r="X148" s="861">
        <v>945.64700000000005</v>
      </c>
      <c r="Y148" s="719"/>
      <c r="Z148" s="720"/>
      <c r="AA148" s="721"/>
      <c r="AB148" s="722"/>
      <c r="AC148" s="710"/>
      <c r="AD148" s="723"/>
      <c r="AE148" s="449"/>
      <c r="AF148" s="724"/>
      <c r="AG148" s="724"/>
      <c r="AH148" s="724"/>
      <c r="AI148" s="724"/>
      <c r="AJ148" s="724"/>
      <c r="AK148" s="724"/>
      <c r="AL148" s="724"/>
      <c r="AM148" s="724"/>
      <c r="AN148" s="724"/>
      <c r="AO148" s="724"/>
      <c r="AP148" s="712"/>
      <c r="AQ148" s="724"/>
    </row>
    <row r="149" spans="1:59" s="3" customFormat="1" ht="28.5" customHeight="1" x14ac:dyDescent="0.25">
      <c r="A149" s="1235">
        <v>30</v>
      </c>
      <c r="B149" s="1442">
        <v>1960443</v>
      </c>
      <c r="C149" s="2026" t="s">
        <v>1271</v>
      </c>
      <c r="D149" s="1319" t="s">
        <v>700</v>
      </c>
      <c r="E149" s="2027">
        <v>4.2359999999999998</v>
      </c>
      <c r="F149" s="2028">
        <v>21219</v>
      </c>
      <c r="G149" s="418"/>
      <c r="H149" s="418"/>
      <c r="I149" s="418"/>
      <c r="J149" s="794"/>
      <c r="K149" s="418"/>
      <c r="L149" s="794"/>
      <c r="M149" s="418"/>
      <c r="N149" s="418"/>
      <c r="O149" s="418"/>
      <c r="P149" s="794"/>
      <c r="Q149" s="418"/>
      <c r="R149" s="795"/>
      <c r="S149" s="1442" t="s">
        <v>1031</v>
      </c>
      <c r="T149" s="1442" t="s">
        <v>1272</v>
      </c>
      <c r="U149" s="1442" t="s">
        <v>7</v>
      </c>
      <c r="V149" s="258"/>
      <c r="W149" s="964" t="s">
        <v>2</v>
      </c>
      <c r="X149" s="1443">
        <v>29222.697039999999</v>
      </c>
      <c r="Y149" s="1442" t="s">
        <v>1031</v>
      </c>
      <c r="Z149" s="1442" t="s">
        <v>1272</v>
      </c>
      <c r="AA149" s="1442" t="s">
        <v>7</v>
      </c>
      <c r="AB149" s="258">
        <v>4.2359999999999998</v>
      </c>
      <c r="AC149" s="964" t="s">
        <v>2</v>
      </c>
      <c r="AD149" s="1443">
        <v>27185.285759999999</v>
      </c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8"/>
    </row>
    <row r="150" spans="1:59" s="3" customFormat="1" ht="28.5" customHeight="1" thickBot="1" x14ac:dyDescent="0.3">
      <c r="A150" s="1223"/>
      <c r="B150" s="1147"/>
      <c r="C150" s="1594"/>
      <c r="D150" s="1434"/>
      <c r="E150" s="2029"/>
      <c r="F150" s="2030"/>
      <c r="G150" s="420"/>
      <c r="H150" s="420"/>
      <c r="I150" s="420"/>
      <c r="J150" s="823"/>
      <c r="K150" s="420"/>
      <c r="L150" s="823"/>
      <c r="M150" s="420"/>
      <c r="N150" s="420"/>
      <c r="O150" s="420"/>
      <c r="P150" s="823"/>
      <c r="Q150" s="420"/>
      <c r="R150" s="824"/>
      <c r="S150" s="1147"/>
      <c r="T150" s="1147"/>
      <c r="U150" s="1147"/>
      <c r="V150" s="879"/>
      <c r="W150" s="879" t="s">
        <v>4</v>
      </c>
      <c r="X150" s="1444"/>
      <c r="Y150" s="1147"/>
      <c r="Z150" s="1147"/>
      <c r="AA150" s="1147"/>
      <c r="AB150" s="809">
        <v>27166</v>
      </c>
      <c r="AC150" s="879" t="s">
        <v>4</v>
      </c>
      <c r="AD150" s="1444"/>
      <c r="AE150" s="117"/>
      <c r="AF150" s="117"/>
      <c r="AG150" s="117"/>
      <c r="AH150" s="117"/>
      <c r="AI150" s="117"/>
      <c r="AJ150" s="117"/>
      <c r="AK150" s="51"/>
      <c r="AL150" s="51"/>
      <c r="AM150" s="51"/>
      <c r="AN150" s="51"/>
      <c r="AO150" s="51"/>
      <c r="AP150" s="51"/>
      <c r="AQ150" s="8"/>
    </row>
    <row r="151" spans="1:59" s="2" customFormat="1" ht="28.5" customHeight="1" x14ac:dyDescent="0.25">
      <c r="A151" s="1227">
        <v>31</v>
      </c>
      <c r="B151" s="1232">
        <v>1960076</v>
      </c>
      <c r="C151" s="1340" t="s">
        <v>89</v>
      </c>
      <c r="D151" s="1473" t="s">
        <v>137</v>
      </c>
      <c r="E151" s="1472">
        <v>4.4580000000000002</v>
      </c>
      <c r="F151" s="1792">
        <v>37050</v>
      </c>
      <c r="G151" s="982"/>
      <c r="H151" s="982"/>
      <c r="I151" s="1052"/>
      <c r="J151" s="1056"/>
      <c r="K151" s="817"/>
      <c r="L151" s="526"/>
      <c r="M151" s="328"/>
      <c r="N151" s="328"/>
      <c r="O151" s="215"/>
      <c r="P151" s="329"/>
      <c r="Q151" s="328"/>
      <c r="R151" s="819"/>
      <c r="S151" s="328"/>
      <c r="T151" s="328"/>
      <c r="U151" s="328"/>
      <c r="V151" s="329"/>
      <c r="W151" s="328"/>
      <c r="X151" s="329"/>
      <c r="Y151" s="506"/>
      <c r="Z151" s="506"/>
      <c r="AA151" s="506"/>
      <c r="AB151" s="506"/>
      <c r="AC151" s="506"/>
      <c r="AD151" s="506"/>
      <c r="AE151" s="1232" t="s">
        <v>1031</v>
      </c>
      <c r="AF151" s="1232" t="s">
        <v>1275</v>
      </c>
      <c r="AG151" s="2031" t="s">
        <v>7</v>
      </c>
      <c r="AH151" s="886">
        <v>4.4580000000000002</v>
      </c>
      <c r="AI151" s="964" t="s">
        <v>2</v>
      </c>
      <c r="AJ151" s="1954">
        <f>AH151*15000</f>
        <v>66870</v>
      </c>
      <c r="AK151" s="314"/>
      <c r="AL151" s="51"/>
      <c r="AM151" s="51"/>
      <c r="AN151" s="51"/>
      <c r="AO151" s="51"/>
      <c r="AP151" s="316"/>
      <c r="AQ151" s="8"/>
    </row>
    <row r="152" spans="1:59" s="2" customFormat="1" ht="28.5" customHeight="1" thickBot="1" x14ac:dyDescent="0.3">
      <c r="A152" s="1224"/>
      <c r="B152" s="1234"/>
      <c r="C152" s="1194"/>
      <c r="D152" s="1274"/>
      <c r="E152" s="1361"/>
      <c r="F152" s="1375"/>
      <c r="G152" s="984"/>
      <c r="H152" s="984"/>
      <c r="I152" s="1102"/>
      <c r="J152" s="163"/>
      <c r="K152" s="1058"/>
      <c r="L152" s="174"/>
      <c r="M152" s="331"/>
      <c r="N152" s="331"/>
      <c r="O152" s="220"/>
      <c r="P152" s="818"/>
      <c r="Q152" s="331"/>
      <c r="R152" s="820"/>
      <c r="S152" s="331"/>
      <c r="T152" s="331"/>
      <c r="U152" s="331"/>
      <c r="V152" s="818"/>
      <c r="W152" s="331"/>
      <c r="X152" s="818"/>
      <c r="Y152" s="815"/>
      <c r="Z152" s="815"/>
      <c r="AA152" s="815"/>
      <c r="AB152" s="815"/>
      <c r="AC152" s="815"/>
      <c r="AD152" s="815"/>
      <c r="AE152" s="1234"/>
      <c r="AF152" s="1234"/>
      <c r="AG152" s="1519"/>
      <c r="AH152" s="888">
        <v>37050</v>
      </c>
      <c r="AI152" s="965" t="s">
        <v>4</v>
      </c>
      <c r="AJ152" s="1955"/>
      <c r="AK152" s="314"/>
      <c r="AL152" s="51"/>
      <c r="AM152" s="51"/>
      <c r="AN152" s="51"/>
      <c r="AO152" s="51"/>
      <c r="AP152" s="316"/>
      <c r="AQ152" s="8"/>
    </row>
    <row r="153" spans="1:59" ht="48.2" customHeight="1" thickBot="1" x14ac:dyDescent="0.3">
      <c r="A153" s="1736" t="s">
        <v>1158</v>
      </c>
      <c r="B153" s="1737"/>
      <c r="C153" s="1737"/>
      <c r="D153" s="1737"/>
      <c r="E153" s="1737"/>
      <c r="F153" s="1737"/>
      <c r="G153" s="1737"/>
      <c r="H153" s="1737"/>
      <c r="I153" s="1738"/>
      <c r="J153" s="717"/>
      <c r="K153" s="718"/>
      <c r="L153" s="728">
        <f>L154</f>
        <v>2308881.92</v>
      </c>
      <c r="M153" s="718"/>
      <c r="N153" s="718"/>
      <c r="O153" s="729"/>
      <c r="P153" s="717"/>
      <c r="Q153" s="718"/>
      <c r="R153" s="730">
        <f>R154+R159+R161+R162+R163+R164+R165</f>
        <v>3244748.9079900002</v>
      </c>
      <c r="S153" s="718"/>
      <c r="T153" s="718"/>
      <c r="U153" s="718"/>
      <c r="V153" s="717"/>
      <c r="W153" s="718"/>
      <c r="X153" s="730">
        <f>X154</f>
        <v>3903710.57008</v>
      </c>
      <c r="Y153" s="899"/>
      <c r="Z153" s="899"/>
      <c r="AA153" s="880"/>
      <c r="AB153" s="952"/>
      <c r="AC153" s="252"/>
      <c r="AD153" s="2032">
        <f>AD154</f>
        <v>3922050.5056800004</v>
      </c>
      <c r="AE153" s="339"/>
      <c r="AF153" s="32"/>
      <c r="AG153" s="32"/>
      <c r="AH153" s="32"/>
      <c r="AI153" s="32"/>
      <c r="AJ153" s="833">
        <f>200000-200000</f>
        <v>0</v>
      </c>
      <c r="AK153" s="32"/>
      <c r="AL153" s="32"/>
      <c r="AM153" s="32"/>
      <c r="AN153" s="32"/>
      <c r="AO153" s="32"/>
      <c r="AP153" s="32"/>
      <c r="AQ153" s="32"/>
    </row>
    <row r="154" spans="1:59" s="41" customFormat="1" ht="49.5" customHeight="1" x14ac:dyDescent="0.2">
      <c r="A154" s="1789">
        <v>1</v>
      </c>
      <c r="B154" s="1240"/>
      <c r="C154" s="1791" t="s">
        <v>1261</v>
      </c>
      <c r="D154" s="1305"/>
      <c r="E154" s="1784">
        <v>21.73</v>
      </c>
      <c r="F154" s="1934">
        <f>275.17*10000</f>
        <v>2751700</v>
      </c>
      <c r="G154" s="1445" t="s">
        <v>1031</v>
      </c>
      <c r="H154" s="1445" t="s">
        <v>1263</v>
      </c>
      <c r="I154" s="1445" t="s">
        <v>1159</v>
      </c>
      <c r="J154" s="929"/>
      <c r="K154" s="929" t="s">
        <v>2</v>
      </c>
      <c r="L154" s="1770">
        <f>46933.528+230700.385+10+350000+1678622.86+2615.147</f>
        <v>2308881.92</v>
      </c>
      <c r="M154" s="1445" t="s">
        <v>1031</v>
      </c>
      <c r="N154" s="1445" t="s">
        <v>1263</v>
      </c>
      <c r="O154" s="1445" t="s">
        <v>1159</v>
      </c>
      <c r="P154" s="1104"/>
      <c r="Q154" s="929" t="s">
        <v>2</v>
      </c>
      <c r="R154" s="1770">
        <f>R157</f>
        <v>3067811.91653</v>
      </c>
      <c r="S154" s="1445" t="s">
        <v>1031</v>
      </c>
      <c r="T154" s="1445" t="s">
        <v>1263</v>
      </c>
      <c r="U154" s="1445" t="s">
        <v>1159</v>
      </c>
      <c r="V154" s="1104"/>
      <c r="W154" s="929" t="s">
        <v>2</v>
      </c>
      <c r="X154" s="1413">
        <f>2200000+1503405.5+305.07008+200000</f>
        <v>3903710.57008</v>
      </c>
      <c r="Y154" s="1445" t="s">
        <v>1031</v>
      </c>
      <c r="Z154" s="1445" t="s">
        <v>1263</v>
      </c>
      <c r="AA154" s="1445" t="s">
        <v>1159</v>
      </c>
      <c r="AB154" s="881">
        <v>21.73</v>
      </c>
      <c r="AC154" s="929" t="s">
        <v>2</v>
      </c>
      <c r="AD154" s="1459">
        <f>5625456.00568-1503405.5-200000</f>
        <v>3922050.5056800004</v>
      </c>
      <c r="AE154" s="276"/>
      <c r="AF154" s="1110"/>
      <c r="AG154" s="1110"/>
      <c r="AH154" s="1110"/>
      <c r="AI154" s="1110"/>
      <c r="AJ154" s="148"/>
      <c r="AK154" s="1110"/>
      <c r="AL154" s="1110"/>
      <c r="AM154" s="1110"/>
      <c r="AN154" s="1110"/>
      <c r="AO154" s="1110"/>
      <c r="AP154" s="1110"/>
      <c r="AQ154" s="1448" t="s">
        <v>1182</v>
      </c>
      <c r="AR154" s="491"/>
    </row>
    <row r="155" spans="1:59" s="41" customFormat="1" ht="49.5" customHeight="1" x14ac:dyDescent="0.2">
      <c r="A155" s="1790"/>
      <c r="B155" s="1218"/>
      <c r="C155" s="1269"/>
      <c r="D155" s="1306"/>
      <c r="E155" s="1785"/>
      <c r="F155" s="1935"/>
      <c r="G155" s="1446"/>
      <c r="H155" s="1446"/>
      <c r="I155" s="1446"/>
      <c r="J155" s="911"/>
      <c r="K155" s="1114" t="s">
        <v>3</v>
      </c>
      <c r="L155" s="1771"/>
      <c r="M155" s="1446"/>
      <c r="N155" s="1446"/>
      <c r="O155" s="1446"/>
      <c r="P155" s="55"/>
      <c r="Q155" s="1114" t="s">
        <v>3</v>
      </c>
      <c r="R155" s="1771"/>
      <c r="S155" s="1446"/>
      <c r="T155" s="1446"/>
      <c r="U155" s="1446"/>
      <c r="V155" s="55"/>
      <c r="W155" s="1114" t="s">
        <v>3</v>
      </c>
      <c r="X155" s="1414"/>
      <c r="Y155" s="1446"/>
      <c r="Z155" s="1446"/>
      <c r="AA155" s="1446"/>
      <c r="AB155" s="882">
        <v>2751700</v>
      </c>
      <c r="AC155" s="1114" t="s">
        <v>3</v>
      </c>
      <c r="AD155" s="1460"/>
      <c r="AE155" s="280"/>
      <c r="AF155" s="1125"/>
      <c r="AG155" s="1125"/>
      <c r="AH155" s="1125"/>
      <c r="AI155" s="1125"/>
      <c r="AJ155" s="698"/>
      <c r="AK155" s="1125"/>
      <c r="AL155" s="1125"/>
      <c r="AM155" s="1125"/>
      <c r="AN155" s="1125"/>
      <c r="AO155" s="1125"/>
      <c r="AP155" s="1125"/>
      <c r="AQ155" s="1152"/>
      <c r="AR155" s="492"/>
    </row>
    <row r="156" spans="1:59" s="277" customFormat="1" ht="19.350000000000001" customHeight="1" x14ac:dyDescent="0.2">
      <c r="A156" s="1005"/>
      <c r="B156" s="882"/>
      <c r="C156" s="1269" t="s">
        <v>1168</v>
      </c>
      <c r="D156" s="1269"/>
      <c r="E156" s="1269"/>
      <c r="F156" s="901"/>
      <c r="G156" s="930"/>
      <c r="H156" s="930"/>
      <c r="I156" s="930"/>
      <c r="J156" s="911"/>
      <c r="K156" s="1114"/>
      <c r="L156" s="962"/>
      <c r="M156" s="152"/>
      <c r="N156" s="55"/>
      <c r="O156" s="55"/>
      <c r="P156" s="55"/>
      <c r="Q156" s="1114"/>
      <c r="R156" s="962"/>
      <c r="S156" s="55"/>
      <c r="T156" s="55"/>
      <c r="U156" s="55"/>
      <c r="V156" s="55"/>
      <c r="W156" s="1114"/>
      <c r="X156" s="1014"/>
      <c r="Y156" s="55"/>
      <c r="Z156" s="42"/>
      <c r="AA156" s="42"/>
      <c r="AB156" s="42"/>
      <c r="AC156" s="1114"/>
      <c r="AD156" s="534"/>
      <c r="AE156" s="281"/>
      <c r="AF156" s="42"/>
      <c r="AG156" s="42"/>
      <c r="AH156" s="42"/>
      <c r="AI156" s="42"/>
      <c r="AJ156" s="149"/>
      <c r="AK156" s="42"/>
      <c r="AL156" s="42"/>
      <c r="AM156" s="42"/>
      <c r="AN156" s="42"/>
      <c r="AO156" s="42"/>
      <c r="AP156" s="42"/>
      <c r="AQ156" s="42"/>
      <c r="AR156" s="42"/>
    </row>
    <row r="157" spans="1:59" s="277" customFormat="1" ht="19.350000000000001" customHeight="1" x14ac:dyDescent="0.2">
      <c r="A157" s="1005"/>
      <c r="B157" s="882"/>
      <c r="C157" s="1269" t="s">
        <v>1170</v>
      </c>
      <c r="D157" s="1269"/>
      <c r="E157" s="1269"/>
      <c r="F157" s="901"/>
      <c r="G157" s="930"/>
      <c r="H157" s="930"/>
      <c r="I157" s="930"/>
      <c r="J157" s="911"/>
      <c r="K157" s="1114"/>
      <c r="L157" s="962">
        <f>L154</f>
        <v>2308881.92</v>
      </c>
      <c r="M157" s="152"/>
      <c r="N157" s="55"/>
      <c r="O157" s="55"/>
      <c r="P157" s="55"/>
      <c r="Q157" s="1114"/>
      <c r="R157" s="962">
        <f>267811.91653+2800000</f>
        <v>3067811.91653</v>
      </c>
      <c r="S157" s="55"/>
      <c r="T157" s="55"/>
      <c r="U157" s="55"/>
      <c r="V157" s="55"/>
      <c r="W157" s="1114"/>
      <c r="X157" s="1014">
        <f>X154</f>
        <v>3903710.57008</v>
      </c>
      <c r="Y157" s="55"/>
      <c r="Z157" s="42"/>
      <c r="AA157" s="42"/>
      <c r="AB157" s="42"/>
      <c r="AC157" s="1114"/>
      <c r="AD157" s="1014">
        <v>0.01</v>
      </c>
      <c r="AE157" s="281"/>
      <c r="AF157" s="42"/>
      <c r="AG157" s="42"/>
      <c r="AH157" s="42"/>
      <c r="AI157" s="42"/>
      <c r="AJ157" s="149"/>
      <c r="AK157" s="42"/>
      <c r="AL157" s="42"/>
      <c r="AM157" s="42"/>
      <c r="AN157" s="42"/>
      <c r="AO157" s="42"/>
      <c r="AP157" s="42"/>
      <c r="AQ157" s="42"/>
      <c r="AR157" s="42"/>
    </row>
    <row r="158" spans="1:59" s="277" customFormat="1" ht="19.350000000000001" customHeight="1" thickBot="1" x14ac:dyDescent="0.25">
      <c r="A158" s="1135"/>
      <c r="B158" s="1049"/>
      <c r="C158" s="1786" t="s">
        <v>1169</v>
      </c>
      <c r="D158" s="1786"/>
      <c r="E158" s="1786"/>
      <c r="F158" s="1075"/>
      <c r="G158" s="1077"/>
      <c r="H158" s="1077"/>
      <c r="I158" s="1077"/>
      <c r="J158" s="1087"/>
      <c r="K158" s="1094"/>
      <c r="L158" s="249"/>
      <c r="M158" s="603"/>
      <c r="N158" s="1111"/>
      <c r="O158" s="1111"/>
      <c r="P158" s="1111"/>
      <c r="Q158" s="1094"/>
      <c r="R158" s="249"/>
      <c r="S158" s="185"/>
      <c r="T158" s="1105"/>
      <c r="U158" s="1105"/>
      <c r="V158" s="1105"/>
      <c r="W158" s="245"/>
      <c r="X158" s="163"/>
      <c r="Y158" s="1105"/>
      <c r="Z158" s="177"/>
      <c r="AA158" s="177"/>
      <c r="AB158" s="177"/>
      <c r="AC158" s="245"/>
      <c r="AD158" s="573" t="s">
        <v>1287</v>
      </c>
      <c r="AE158" s="281"/>
      <c r="AF158" s="42"/>
      <c r="AG158" s="42"/>
      <c r="AH158" s="42"/>
      <c r="AI158" s="42"/>
      <c r="AJ158" s="149"/>
      <c r="AK158" s="42"/>
      <c r="AL158" s="42"/>
      <c r="AM158" s="42"/>
      <c r="AN158" s="42"/>
      <c r="AO158" s="42"/>
      <c r="AP158" s="42"/>
      <c r="AQ158" s="42"/>
      <c r="AR158" s="42"/>
    </row>
    <row r="159" spans="1:59" s="606" customFormat="1" ht="19.350000000000001" customHeight="1" x14ac:dyDescent="0.2">
      <c r="A159" s="1292">
        <v>2</v>
      </c>
      <c r="B159" s="1240">
        <v>1960001</v>
      </c>
      <c r="C159" s="1776" t="s">
        <v>99</v>
      </c>
      <c r="D159" s="1240" t="s">
        <v>117</v>
      </c>
      <c r="E159" s="1578">
        <v>27.35</v>
      </c>
      <c r="F159" s="1300">
        <v>229255</v>
      </c>
      <c r="G159" s="1749"/>
      <c r="H159" s="1749"/>
      <c r="I159" s="1006"/>
      <c r="J159" s="974"/>
      <c r="K159" s="612"/>
      <c r="L159" s="613"/>
      <c r="M159" s="1950" t="s">
        <v>1029</v>
      </c>
      <c r="N159" s="1453" t="s">
        <v>1030</v>
      </c>
      <c r="O159" s="1457" t="s">
        <v>30</v>
      </c>
      <c r="P159" s="494">
        <v>5.8468</v>
      </c>
      <c r="Q159" s="171" t="s">
        <v>2</v>
      </c>
      <c r="R159" s="1768">
        <f>176936.99146-R161-R162-R163-R164-R165</f>
        <v>157086.31626000002</v>
      </c>
      <c r="S159" s="146"/>
      <c r="T159" s="1111"/>
      <c r="U159" s="1111"/>
      <c r="V159" s="1111"/>
      <c r="W159" s="1094"/>
      <c r="X159" s="1087"/>
      <c r="Y159" s="1111"/>
      <c r="Z159" s="1109"/>
      <c r="AA159" s="1109"/>
      <c r="AB159" s="1109"/>
      <c r="AC159" s="1094"/>
      <c r="AD159" s="911"/>
      <c r="AE159" s="281"/>
      <c r="AF159" s="42"/>
      <c r="AG159" s="42"/>
      <c r="AH159" s="42"/>
      <c r="AI159" s="42"/>
      <c r="AJ159" s="149"/>
      <c r="AK159" s="42"/>
      <c r="AL159" s="42"/>
      <c r="AM159" s="42"/>
      <c r="AN159" s="42"/>
      <c r="AO159" s="42"/>
      <c r="AP159" s="42"/>
      <c r="AQ159" s="42"/>
      <c r="AR159" s="605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</row>
    <row r="160" spans="1:59" s="606" customFormat="1" ht="19.350000000000001" customHeight="1" x14ac:dyDescent="0.2">
      <c r="A160" s="1293"/>
      <c r="B160" s="1218"/>
      <c r="C160" s="1777"/>
      <c r="D160" s="1218"/>
      <c r="E160" s="1181"/>
      <c r="F160" s="1301"/>
      <c r="G160" s="1750"/>
      <c r="H160" s="1750"/>
      <c r="I160" s="1077"/>
      <c r="J160" s="1087"/>
      <c r="K160" s="1094"/>
      <c r="L160" s="249"/>
      <c r="M160" s="1951"/>
      <c r="N160" s="1454"/>
      <c r="O160" s="1458"/>
      <c r="P160" s="911">
        <v>41058</v>
      </c>
      <c r="Q160" s="42" t="s">
        <v>3</v>
      </c>
      <c r="R160" s="1769"/>
      <c r="S160" s="146"/>
      <c r="T160" s="1111"/>
      <c r="U160" s="1111"/>
      <c r="V160" s="1111"/>
      <c r="W160" s="1094"/>
      <c r="X160" s="1087"/>
      <c r="Y160" s="1111"/>
      <c r="Z160" s="1109"/>
      <c r="AA160" s="1109"/>
      <c r="AB160" s="1109"/>
      <c r="AC160" s="1094"/>
      <c r="AD160" s="911"/>
      <c r="AE160" s="281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605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</row>
    <row r="161" spans="1:59" s="606" customFormat="1" ht="19.350000000000001" customHeight="1" x14ac:dyDescent="0.2">
      <c r="A161" s="1293"/>
      <c r="B161" s="1218"/>
      <c r="C161" s="1777"/>
      <c r="D161" s="1218"/>
      <c r="E161" s="1181"/>
      <c r="F161" s="1301"/>
      <c r="G161" s="1750"/>
      <c r="H161" s="1750"/>
      <c r="I161" s="1077"/>
      <c r="J161" s="1087"/>
      <c r="K161" s="1094"/>
      <c r="L161" s="249"/>
      <c r="M161" s="1951"/>
      <c r="N161" s="1454"/>
      <c r="O161" s="1053" t="s">
        <v>8</v>
      </c>
      <c r="P161" s="84">
        <v>18.937999999999999</v>
      </c>
      <c r="Q161" s="42" t="s">
        <v>2</v>
      </c>
      <c r="R161" s="700">
        <v>1473.952</v>
      </c>
      <c r="S161" s="146"/>
      <c r="T161" s="1111"/>
      <c r="U161" s="1111"/>
      <c r="V161" s="1111"/>
      <c r="W161" s="1094"/>
      <c r="X161" s="1087"/>
      <c r="Y161" s="1111"/>
      <c r="Z161" s="1109"/>
      <c r="AA161" s="1109"/>
      <c r="AB161" s="1109"/>
      <c r="AC161" s="1094"/>
      <c r="AD161" s="911"/>
      <c r="AE161" s="281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605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</row>
    <row r="162" spans="1:59" s="606" customFormat="1" ht="20.65" customHeight="1" x14ac:dyDescent="0.2">
      <c r="A162" s="1293"/>
      <c r="B162" s="1218"/>
      <c r="C162" s="1777"/>
      <c r="D162" s="1218"/>
      <c r="E162" s="1181"/>
      <c r="F162" s="1301"/>
      <c r="G162" s="1750"/>
      <c r="H162" s="1750"/>
      <c r="I162" s="1077"/>
      <c r="J162" s="1087"/>
      <c r="K162" s="1094"/>
      <c r="L162" s="249"/>
      <c r="M162" s="1951"/>
      <c r="N162" s="1454"/>
      <c r="O162" s="1053" t="s">
        <v>32</v>
      </c>
      <c r="P162" s="145">
        <v>85</v>
      </c>
      <c r="Q162" s="42" t="s">
        <v>10</v>
      </c>
      <c r="R162" s="700">
        <v>653.56899999999996</v>
      </c>
      <c r="S162" s="146"/>
      <c r="T162" s="1111"/>
      <c r="U162" s="1111"/>
      <c r="V162" s="1111"/>
      <c r="W162" s="1094"/>
      <c r="X162" s="1087"/>
      <c r="Y162" s="1111"/>
      <c r="Z162" s="1109"/>
      <c r="AA162" s="1109"/>
      <c r="AB162" s="1109"/>
      <c r="AC162" s="1094"/>
      <c r="AD162" s="911"/>
      <c r="AE162" s="281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605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</row>
    <row r="163" spans="1:59" s="606" customFormat="1" ht="32.1" customHeight="1" x14ac:dyDescent="0.2">
      <c r="A163" s="1293"/>
      <c r="B163" s="1218"/>
      <c r="C163" s="1777"/>
      <c r="D163" s="1218"/>
      <c r="E163" s="1181"/>
      <c r="F163" s="1301"/>
      <c r="G163" s="1750"/>
      <c r="H163" s="1750"/>
      <c r="I163" s="1077"/>
      <c r="J163" s="1087"/>
      <c r="K163" s="1094"/>
      <c r="L163" s="249"/>
      <c r="M163" s="1951"/>
      <c r="N163" s="1454"/>
      <c r="O163" s="877" t="s">
        <v>1219</v>
      </c>
      <c r="P163" s="1050">
        <v>1727</v>
      </c>
      <c r="Q163" s="882" t="s">
        <v>1080</v>
      </c>
      <c r="R163" s="700">
        <v>8382.4940000000006</v>
      </c>
      <c r="S163" s="146"/>
      <c r="T163" s="1111"/>
      <c r="U163" s="1111"/>
      <c r="V163" s="1111"/>
      <c r="W163" s="1094"/>
      <c r="X163" s="1087"/>
      <c r="Y163" s="1111"/>
      <c r="Z163" s="1109"/>
      <c r="AA163" s="1109"/>
      <c r="AB163" s="1109"/>
      <c r="AC163" s="1094"/>
      <c r="AD163" s="911"/>
      <c r="AE163" s="281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605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</row>
    <row r="164" spans="1:59" s="606" customFormat="1" ht="36" customHeight="1" x14ac:dyDescent="0.2">
      <c r="A164" s="1293"/>
      <c r="B164" s="1218"/>
      <c r="C164" s="1777"/>
      <c r="D164" s="1218"/>
      <c r="E164" s="1181"/>
      <c r="F164" s="1301"/>
      <c r="G164" s="1750"/>
      <c r="H164" s="1750"/>
      <c r="I164" s="1077"/>
      <c r="J164" s="1087"/>
      <c r="K164" s="1094"/>
      <c r="L164" s="249"/>
      <c r="M164" s="1951"/>
      <c r="N164" s="1454"/>
      <c r="O164" s="877" t="s">
        <v>1220</v>
      </c>
      <c r="P164" s="699">
        <v>166</v>
      </c>
      <c r="Q164" s="42" t="s">
        <v>10</v>
      </c>
      <c r="R164" s="700">
        <v>7977.4931999999999</v>
      </c>
      <c r="S164" s="146"/>
      <c r="T164" s="1111"/>
      <c r="U164" s="1111"/>
      <c r="V164" s="1111"/>
      <c r="W164" s="1094"/>
      <c r="X164" s="1087"/>
      <c r="Y164" s="1111"/>
      <c r="Z164" s="1109"/>
      <c r="AA164" s="1109"/>
      <c r="AB164" s="1109"/>
      <c r="AC164" s="1094"/>
      <c r="AD164" s="911"/>
      <c r="AE164" s="281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605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</row>
    <row r="165" spans="1:59" s="606" customFormat="1" ht="28.9" customHeight="1" thickBot="1" x14ac:dyDescent="0.25">
      <c r="A165" s="1294"/>
      <c r="B165" s="1241"/>
      <c r="C165" s="1778"/>
      <c r="D165" s="1241"/>
      <c r="E165" s="1271"/>
      <c r="F165" s="1302"/>
      <c r="G165" s="1751"/>
      <c r="H165" s="1751"/>
      <c r="I165" s="1116"/>
      <c r="J165" s="943"/>
      <c r="K165" s="245"/>
      <c r="L165" s="250"/>
      <c r="M165" s="1952"/>
      <c r="N165" s="1455"/>
      <c r="O165" s="889" t="s">
        <v>1130</v>
      </c>
      <c r="P165" s="170">
        <v>860</v>
      </c>
      <c r="Q165" s="889" t="s">
        <v>1080</v>
      </c>
      <c r="R165" s="701">
        <v>1363.1669999999999</v>
      </c>
      <c r="S165" s="146"/>
      <c r="T165" s="1111"/>
      <c r="U165" s="1111"/>
      <c r="V165" s="1111"/>
      <c r="W165" s="1094"/>
      <c r="X165" s="1087"/>
      <c r="Y165" s="1111"/>
      <c r="Z165" s="1109"/>
      <c r="AA165" s="1109"/>
      <c r="AB165" s="1109"/>
      <c r="AC165" s="1094"/>
      <c r="AD165" s="911"/>
      <c r="AE165" s="281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605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</row>
    <row r="166" spans="1:59" s="510" customFormat="1" ht="36.6" customHeight="1" x14ac:dyDescent="0.2">
      <c r="A166" s="1290" t="s">
        <v>1184</v>
      </c>
      <c r="B166" s="1291"/>
      <c r="C166" s="1291"/>
      <c r="D166" s="1291"/>
      <c r="E166" s="607"/>
      <c r="F166" s="608"/>
      <c r="G166" s="609"/>
      <c r="H166" s="609"/>
      <c r="I166" s="433"/>
      <c r="J166" s="607">
        <f>J44+J69+J80+J84+J19+J32</f>
        <v>51.503</v>
      </c>
      <c r="K166" s="439"/>
      <c r="L166" s="607">
        <f>L154+L86+L84+L83+L82+L80+L72+L71+L69+L47+L46+L44+L35+L32+L12+L19+L9</f>
        <v>2946172.1649311017</v>
      </c>
      <c r="M166" s="439"/>
      <c r="N166" s="439"/>
      <c r="O166" s="610"/>
      <c r="P166" s="611">
        <f>P9+P12+P32+P35+P64+P87+P75+P91+P94+P21+P25+P159</f>
        <v>70.290800000000004</v>
      </c>
      <c r="Q166" s="439"/>
      <c r="R166" s="638">
        <f>R9+R12+R32+R35+R157+R25+R21+R64+R87+R75+R91+R94+R11+R14+R23+R27+R37+R89+R96+R15+R24+R28+R38+R66+R90+R93+R97+R29+R39+R30+R31+R34+R114+R110+R104+R159+R161+R162+R163+R164+R165+R77+R78+R79</f>
        <v>4239610.0124499993</v>
      </c>
      <c r="S166" s="36"/>
      <c r="T166" s="36"/>
      <c r="U166" s="36"/>
      <c r="V166" s="140">
        <f>V12+V40+V42+V50+V56+V60+V64+V67+V73+V75+V104+V110+V114+V142+V138+V136+V120+V102+V144+V48</f>
        <v>33.04</v>
      </c>
      <c r="W166" s="36"/>
      <c r="X166" s="702">
        <f>X12+X40+X42+X50+X56+X60+X64+X67+X73+X75+X94+X91+X157+X104+X106+X107+X110+X114+X116+X117+X142+X138+X136+X120+X102+X144+X140+X141+X146+X147+X148+X98+X128+X149+X48+X112</f>
        <v>4235281.6526699997</v>
      </c>
      <c r="Y166" s="36"/>
      <c r="Z166" s="36"/>
      <c r="AA166" s="36"/>
      <c r="AB166" s="597">
        <f>AB98+AB100+AB102+AB104+AB108+AB110+AB154+AB50+AB56+AB136+AB128+AB149+AB112+AB40</f>
        <v>66.864000000000004</v>
      </c>
      <c r="AC166" s="36"/>
      <c r="AD166" s="2033">
        <f>AD98+AD100+AD102+AD104+AD108+AD110+AD91+AD94+AD75+AD157+AD56+AD50+AD136+AD128+AD149+AD112+AD40</f>
        <v>572946.78633519995</v>
      </c>
      <c r="AE166" s="36"/>
      <c r="AF166" s="36"/>
      <c r="AG166" s="36"/>
      <c r="AH166" s="40">
        <f>AH170</f>
        <v>43.519999999999996</v>
      </c>
      <c r="AI166" s="36"/>
      <c r="AJ166" s="40">
        <f>AJ60+AJ118+AJ122+AJ124+AJ126+AJ91+AJ94+AJ75+AJ153+AJ110+AJ120+AJ151+AJ132+AJ80</f>
        <v>704814.94699999993</v>
      </c>
      <c r="AK166" s="36"/>
      <c r="AL166" s="36"/>
      <c r="AM166" s="36"/>
      <c r="AN166" s="40">
        <f>AN170</f>
        <v>45.040000000000006</v>
      </c>
      <c r="AO166" s="36"/>
      <c r="AP166" s="40">
        <f>AP170</f>
        <v>918727.37144000002</v>
      </c>
      <c r="AQ166" s="36"/>
      <c r="AR166" s="509"/>
      <c r="AS166" s="509"/>
      <c r="AT166" s="509"/>
      <c r="AU166" s="509"/>
      <c r="AV166" s="509"/>
      <c r="AW166" s="509"/>
      <c r="AX166" s="509"/>
      <c r="AY166" s="509"/>
      <c r="AZ166" s="509"/>
      <c r="BA166" s="509"/>
      <c r="BB166" s="509"/>
      <c r="BC166" s="509"/>
      <c r="BD166" s="509"/>
      <c r="BE166" s="509"/>
      <c r="BF166" s="509"/>
      <c r="BG166" s="509"/>
    </row>
    <row r="167" spans="1:59" s="511" customFormat="1" ht="22.15" customHeight="1" x14ac:dyDescent="0.2">
      <c r="A167" s="343"/>
      <c r="B167" s="344"/>
      <c r="C167" s="344"/>
      <c r="D167" s="344"/>
      <c r="E167" s="345"/>
      <c r="F167" s="346"/>
      <c r="G167" s="1269" t="s">
        <v>1168</v>
      </c>
      <c r="H167" s="1269"/>
      <c r="I167" s="1269"/>
      <c r="J167" s="283"/>
      <c r="K167" s="127"/>
      <c r="L167" s="256"/>
      <c r="M167" s="127"/>
      <c r="N167" s="127"/>
      <c r="O167" s="284"/>
      <c r="P167" s="283"/>
      <c r="Q167" s="127"/>
      <c r="R167" s="397"/>
      <c r="S167" s="127"/>
      <c r="T167" s="127"/>
      <c r="U167" s="348"/>
      <c r="V167" s="283"/>
      <c r="W167" s="127"/>
      <c r="X167" s="347"/>
      <c r="Y167" s="349"/>
      <c r="Z167" s="350"/>
      <c r="AA167" s="348"/>
      <c r="AB167" s="283"/>
      <c r="AC167" s="127"/>
      <c r="AD167" s="234"/>
      <c r="AE167" s="127"/>
      <c r="AF167" s="127"/>
      <c r="AG167" s="348"/>
      <c r="AH167" s="74"/>
      <c r="AI167" s="127"/>
      <c r="AJ167" s="806"/>
      <c r="AK167" s="127"/>
      <c r="AL167" s="127"/>
      <c r="AM167" s="348"/>
      <c r="AN167" s="74"/>
      <c r="AO167" s="127"/>
      <c r="AP167" s="807"/>
      <c r="AQ167" s="127"/>
    </row>
    <row r="168" spans="1:59" s="511" customFormat="1" ht="22.15" customHeight="1" x14ac:dyDescent="0.2">
      <c r="A168" s="343"/>
      <c r="B168" s="344"/>
      <c r="C168" s="344"/>
      <c r="D168" s="344"/>
      <c r="E168" s="345"/>
      <c r="F168" s="346"/>
      <c r="G168" s="1269" t="s">
        <v>1170</v>
      </c>
      <c r="H168" s="1269"/>
      <c r="I168" s="1269"/>
      <c r="J168" s="283"/>
      <c r="K168" s="127"/>
      <c r="L168" s="146">
        <f>L166-L169</f>
        <v>2901665.0569311017</v>
      </c>
      <c r="M168" s="127"/>
      <c r="N168" s="127"/>
      <c r="O168" s="284"/>
      <c r="P168" s="283"/>
      <c r="Q168" s="127"/>
      <c r="R168" s="639">
        <f>R166-R169</f>
        <v>4239610.0124499993</v>
      </c>
      <c r="S168" s="127"/>
      <c r="T168" s="127"/>
      <c r="U168" s="348"/>
      <c r="V168" s="283"/>
      <c r="W168" s="127"/>
      <c r="X168" s="234"/>
      <c r="Y168" s="349"/>
      <c r="Z168" s="350"/>
      <c r="AA168" s="348"/>
      <c r="AB168" s="283"/>
      <c r="AC168" s="127"/>
      <c r="AD168" s="234"/>
      <c r="AE168" s="127"/>
      <c r="AF168" s="127"/>
      <c r="AG168" s="348"/>
      <c r="AH168" s="74"/>
      <c r="AI168" s="127"/>
      <c r="AJ168" s="234"/>
      <c r="AK168" s="127"/>
      <c r="AL168" s="127"/>
      <c r="AM168" s="348"/>
      <c r="AN168" s="74"/>
      <c r="AO168" s="127"/>
      <c r="AP168" s="807"/>
      <c r="AQ168" s="127"/>
    </row>
    <row r="169" spans="1:59" s="511" customFormat="1" ht="22.15" customHeight="1" thickBot="1" x14ac:dyDescent="0.25">
      <c r="A169" s="343"/>
      <c r="B169" s="344"/>
      <c r="C169" s="344"/>
      <c r="D169" s="344"/>
      <c r="E169" s="345"/>
      <c r="F169" s="346"/>
      <c r="G169" s="1401" t="s">
        <v>1169</v>
      </c>
      <c r="H169" s="1401"/>
      <c r="I169" s="1401"/>
      <c r="J169" s="283"/>
      <c r="K169" s="127"/>
      <c r="L169" s="146">
        <f>L18</f>
        <v>44507.108</v>
      </c>
      <c r="M169" s="127"/>
      <c r="N169" s="127"/>
      <c r="O169" s="284"/>
      <c r="P169" s="283"/>
      <c r="Q169" s="127"/>
      <c r="R169" s="639">
        <v>0</v>
      </c>
      <c r="S169" s="127"/>
      <c r="T169" s="127"/>
      <c r="U169" s="348"/>
      <c r="V169" s="283"/>
      <c r="W169" s="127"/>
      <c r="X169" s="234"/>
      <c r="Y169" s="349"/>
      <c r="Z169" s="350"/>
      <c r="AA169" s="348"/>
      <c r="AB169" s="283"/>
      <c r="AC169" s="127"/>
      <c r="AD169" s="234"/>
      <c r="AE169" s="127"/>
      <c r="AF169" s="127"/>
      <c r="AG169" s="348"/>
      <c r="AH169" s="74"/>
      <c r="AI169" s="127"/>
      <c r="AJ169" s="234"/>
      <c r="AK169" s="127"/>
      <c r="AL169" s="127"/>
      <c r="AM169" s="348"/>
      <c r="AN169" s="74"/>
      <c r="AO169" s="127"/>
      <c r="AP169" s="234"/>
      <c r="AQ169" s="127"/>
    </row>
    <row r="170" spans="1:59" s="7" customFormat="1" ht="15" customHeight="1" x14ac:dyDescent="0.25">
      <c r="A170" s="1832" t="s">
        <v>1139</v>
      </c>
      <c r="B170" s="1833"/>
      <c r="C170" s="1833"/>
      <c r="D170" s="1833"/>
      <c r="E170" s="1833"/>
      <c r="F170" s="1833"/>
      <c r="G170" s="1833"/>
      <c r="H170" s="1834"/>
      <c r="I170" s="1451" t="s">
        <v>7</v>
      </c>
      <c r="J170" s="86">
        <f>J166</f>
        <v>51.503</v>
      </c>
      <c r="K170" s="963" t="s">
        <v>2</v>
      </c>
      <c r="L170" s="1266">
        <f>L9+L12+L19+L32+L44+L69+L84+L80+L35</f>
        <v>633847.0009311029</v>
      </c>
      <c r="M170" s="69"/>
      <c r="N170" s="963"/>
      <c r="O170" s="1451" t="s">
        <v>7</v>
      </c>
      <c r="P170" s="86">
        <f>P9+P12+P32+P35+P64+P87+P75+P91+P94+P21</f>
        <v>64.444000000000003</v>
      </c>
      <c r="Q170" s="963" t="s">
        <v>2</v>
      </c>
      <c r="R170" s="1913">
        <f>R9+R12+R32+R35+R21+R87+R75+R64+R91+R94+R114+R110+R104</f>
        <v>983980.38945999998</v>
      </c>
      <c r="S170" s="963"/>
      <c r="T170" s="963"/>
      <c r="U170" s="1435" t="s">
        <v>7</v>
      </c>
      <c r="V170" s="86">
        <f>V40+V42+V50+V56+V60+V64+V67+V73+V75+V114+V110+V104+V142+V136+V138+V120+V102+V144+V48</f>
        <v>33.04</v>
      </c>
      <c r="W170" s="963" t="s">
        <v>2</v>
      </c>
      <c r="X170" s="1677">
        <f>X166-X182-X196-X198-X199</f>
        <v>328894.93458999979</v>
      </c>
      <c r="Y170" s="159"/>
      <c r="Z170" s="351"/>
      <c r="AA170" s="1435" t="s">
        <v>7</v>
      </c>
      <c r="AB170" s="86">
        <f>AB98+AB100+AB102+AB104+AB108+AB110+AB136+AB128+AB149+AB112+AB40</f>
        <v>45.134000000000007</v>
      </c>
      <c r="AC170" s="963" t="s">
        <v>2</v>
      </c>
      <c r="AD170" s="1677">
        <f>AD98+AD100+AD102+AD104+AD108+AD110+AD75+AD91+AD94+AD50+AD56+AD136+AD128+AD149+AD40+AD112</f>
        <v>572946.77633520006</v>
      </c>
      <c r="AE170" s="963"/>
      <c r="AF170" s="963"/>
      <c r="AG170" s="1435" t="s">
        <v>7</v>
      </c>
      <c r="AH170" s="86">
        <f>AH118+AH120+AH122+AH124+AH126+AH110+AH151+AH132+AH80</f>
        <v>43.519999999999996</v>
      </c>
      <c r="AI170" s="963" t="s">
        <v>2</v>
      </c>
      <c r="AJ170" s="1677">
        <f>AJ166-AJ193</f>
        <v>704814.94699999993</v>
      </c>
      <c r="AK170" s="963"/>
      <c r="AL170" s="963"/>
      <c r="AM170" s="1435" t="s">
        <v>7</v>
      </c>
      <c r="AN170" s="86">
        <f>AN128+AN130+AN132+AN134+AN50+AN126</f>
        <v>45.040000000000006</v>
      </c>
      <c r="AO170" s="963" t="s">
        <v>2</v>
      </c>
      <c r="AP170" s="1266">
        <f>AP173</f>
        <v>918727.37144000002</v>
      </c>
      <c r="AQ170" s="963"/>
    </row>
    <row r="171" spans="1:59" s="7" customFormat="1" ht="18" customHeight="1" x14ac:dyDescent="0.25">
      <c r="A171" s="1835"/>
      <c r="B171" s="1836"/>
      <c r="C171" s="1836"/>
      <c r="D171" s="1836"/>
      <c r="E171" s="1836"/>
      <c r="F171" s="1836"/>
      <c r="G171" s="1836"/>
      <c r="H171" s="1837"/>
      <c r="I171" s="1452"/>
      <c r="J171" s="1012">
        <f>J45+J70+J81+J85+J20+J33</f>
        <v>349971.17125000001</v>
      </c>
      <c r="K171" s="963" t="s">
        <v>4</v>
      </c>
      <c r="L171" s="1267"/>
      <c r="M171" s="69"/>
      <c r="N171" s="963"/>
      <c r="O171" s="1452"/>
      <c r="P171" s="1012">
        <f>P10+P13+P33+P36+P65+P88+P76+P92+P95+P22</f>
        <v>427207.4</v>
      </c>
      <c r="Q171" s="963" t="s">
        <v>4</v>
      </c>
      <c r="R171" s="1913"/>
      <c r="S171" s="963"/>
      <c r="T171" s="963"/>
      <c r="U171" s="1437"/>
      <c r="V171" s="1012">
        <f>V41+V43+V51+V57+V61+V65+V68+V74+V76+V115+V111+V105+V143+V137+V139+V121+V103+V145+V49</f>
        <v>202168</v>
      </c>
      <c r="W171" s="963" t="s">
        <v>4</v>
      </c>
      <c r="X171" s="1677"/>
      <c r="Y171" s="963"/>
      <c r="Z171" s="963"/>
      <c r="AA171" s="1437"/>
      <c r="AB171" s="1012">
        <f>AB99+AB101+AB103+AB105+AB109+AB111+AB57+AB51+AB137+AB129+AB150+AB113+AB41</f>
        <v>284217.49124143185</v>
      </c>
      <c r="AC171" s="963" t="s">
        <v>4</v>
      </c>
      <c r="AD171" s="1677"/>
      <c r="AE171" s="963"/>
      <c r="AF171" s="963"/>
      <c r="AG171" s="1437"/>
      <c r="AH171" s="1012">
        <f>AH119+AH121+AH123+AH125+AH127+AH61+AH111+AH152+AH133+AH81</f>
        <v>297196</v>
      </c>
      <c r="AI171" s="963" t="s">
        <v>4</v>
      </c>
      <c r="AJ171" s="1677"/>
      <c r="AK171" s="963"/>
      <c r="AL171" s="963"/>
      <c r="AM171" s="1437"/>
      <c r="AN171" s="1012">
        <f>AN129+AN131+AN133+AN135+AN51+AN127</f>
        <v>258209</v>
      </c>
      <c r="AO171" s="963" t="s">
        <v>4</v>
      </c>
      <c r="AP171" s="1267"/>
      <c r="AQ171" s="963"/>
    </row>
    <row r="172" spans="1:59" s="285" customFormat="1" ht="17.649999999999999" customHeight="1" x14ac:dyDescent="0.25">
      <c r="A172" s="1835"/>
      <c r="B172" s="1836"/>
      <c r="C172" s="1836"/>
      <c r="D172" s="1836"/>
      <c r="E172" s="1836"/>
      <c r="F172" s="1836"/>
      <c r="G172" s="1836"/>
      <c r="H172" s="1837"/>
      <c r="I172" s="1269" t="s">
        <v>1168</v>
      </c>
      <c r="J172" s="1269"/>
      <c r="K172" s="1269"/>
      <c r="L172" s="1061"/>
      <c r="M172" s="97"/>
      <c r="N172" s="887"/>
      <c r="O172" s="1269" t="s">
        <v>1168</v>
      </c>
      <c r="P172" s="1269"/>
      <c r="Q172" s="1269"/>
      <c r="R172" s="352"/>
      <c r="S172" s="887"/>
      <c r="T172" s="887"/>
      <c r="U172" s="1269" t="s">
        <v>1168</v>
      </c>
      <c r="V172" s="1269"/>
      <c r="W172" s="1269"/>
      <c r="X172" s="1061"/>
      <c r="Y172" s="887"/>
      <c r="Z172" s="887"/>
      <c r="AA172" s="1269" t="s">
        <v>1168</v>
      </c>
      <c r="AB172" s="1269"/>
      <c r="AC172" s="1269"/>
      <c r="AD172" s="1061"/>
      <c r="AE172" s="887"/>
      <c r="AF172" s="887"/>
      <c r="AG172" s="1269" t="s">
        <v>1168</v>
      </c>
      <c r="AH172" s="1269"/>
      <c r="AI172" s="1269"/>
      <c r="AJ172" s="1061"/>
      <c r="AK172" s="887"/>
      <c r="AL172" s="887"/>
      <c r="AM172" s="1269" t="s">
        <v>1168</v>
      </c>
      <c r="AN172" s="1269"/>
      <c r="AO172" s="1269"/>
      <c r="AP172" s="1061"/>
      <c r="AQ172" s="887"/>
    </row>
    <row r="173" spans="1:59" s="285" customFormat="1" ht="31.5" customHeight="1" x14ac:dyDescent="0.25">
      <c r="A173" s="1835"/>
      <c r="B173" s="1836"/>
      <c r="C173" s="1836"/>
      <c r="D173" s="1836"/>
      <c r="E173" s="1836"/>
      <c r="F173" s="1836"/>
      <c r="G173" s="1836"/>
      <c r="H173" s="1837"/>
      <c r="I173" s="1269" t="s">
        <v>1170</v>
      </c>
      <c r="J173" s="1269"/>
      <c r="K173" s="1269"/>
      <c r="L173" s="1061">
        <f>L170-L174</f>
        <v>589339.89293110289</v>
      </c>
      <c r="M173" s="97"/>
      <c r="N173" s="887"/>
      <c r="O173" s="1269" t="s">
        <v>1170</v>
      </c>
      <c r="P173" s="1269"/>
      <c r="Q173" s="1269"/>
      <c r="R173" s="1061">
        <f>R170</f>
        <v>983980.38945999998</v>
      </c>
      <c r="S173" s="887"/>
      <c r="T173" s="887"/>
      <c r="U173" s="1269" t="s">
        <v>1170</v>
      </c>
      <c r="V173" s="1269"/>
      <c r="W173" s="1269"/>
      <c r="X173" s="1061">
        <f>X170</f>
        <v>328894.93458999979</v>
      </c>
      <c r="Y173" s="887"/>
      <c r="Z173" s="887"/>
      <c r="AA173" s="1269" t="s">
        <v>1170</v>
      </c>
      <c r="AB173" s="1269"/>
      <c r="AC173" s="1269"/>
      <c r="AD173" s="1061">
        <f>AD170</f>
        <v>572946.77633520006</v>
      </c>
      <c r="AE173" s="887"/>
      <c r="AF173" s="887"/>
      <c r="AG173" s="1269" t="s">
        <v>1170</v>
      </c>
      <c r="AH173" s="1269"/>
      <c r="AI173" s="1269"/>
      <c r="AJ173" s="1061">
        <f>AJ170</f>
        <v>704814.94699999993</v>
      </c>
      <c r="AK173" s="887"/>
      <c r="AL173" s="887"/>
      <c r="AM173" s="1269" t="s">
        <v>1170</v>
      </c>
      <c r="AN173" s="1269"/>
      <c r="AO173" s="1269"/>
      <c r="AP173" s="1061">
        <f>AP134+AP132+AP130+AP128+AP50+AP126</f>
        <v>918727.37144000002</v>
      </c>
      <c r="AQ173" s="887"/>
    </row>
    <row r="174" spans="1:59" s="285" customFormat="1" ht="16.149999999999999" customHeight="1" x14ac:dyDescent="0.25">
      <c r="A174" s="1835"/>
      <c r="B174" s="1836"/>
      <c r="C174" s="1836"/>
      <c r="D174" s="1836"/>
      <c r="E174" s="1836"/>
      <c r="F174" s="1836"/>
      <c r="G174" s="1836"/>
      <c r="H174" s="1837"/>
      <c r="I174" s="1269" t="s">
        <v>1169</v>
      </c>
      <c r="J174" s="1269"/>
      <c r="K174" s="1269"/>
      <c r="L174" s="1061">
        <f>L169</f>
        <v>44507.108</v>
      </c>
      <c r="M174" s="97"/>
      <c r="N174" s="887"/>
      <c r="O174" s="1269" t="s">
        <v>1169</v>
      </c>
      <c r="P174" s="1269"/>
      <c r="Q174" s="1269"/>
      <c r="R174" s="352"/>
      <c r="S174" s="887"/>
      <c r="T174" s="887"/>
      <c r="U174" s="1269" t="s">
        <v>1169</v>
      </c>
      <c r="V174" s="1269"/>
      <c r="W174" s="1269"/>
      <c r="X174" s="1061"/>
      <c r="Y174" s="887"/>
      <c r="Z174" s="887"/>
      <c r="AA174" s="1269" t="s">
        <v>1169</v>
      </c>
      <c r="AB174" s="1269"/>
      <c r="AC174" s="1269"/>
      <c r="AD174" s="1061"/>
      <c r="AE174" s="887"/>
      <c r="AF174" s="887"/>
      <c r="AG174" s="1269" t="s">
        <v>1169</v>
      </c>
      <c r="AH174" s="1269"/>
      <c r="AI174" s="1269"/>
      <c r="AJ174" s="1061"/>
      <c r="AK174" s="887"/>
      <c r="AL174" s="887"/>
      <c r="AM174" s="1269" t="s">
        <v>1169</v>
      </c>
      <c r="AN174" s="1269"/>
      <c r="AO174" s="1269"/>
      <c r="AP174" s="1061"/>
      <c r="AQ174" s="887"/>
    </row>
    <row r="175" spans="1:59" s="7" customFormat="1" ht="14.1" customHeight="1" x14ac:dyDescent="0.25">
      <c r="A175" s="1835"/>
      <c r="B175" s="1836"/>
      <c r="C175" s="1836"/>
      <c r="D175" s="1836"/>
      <c r="E175" s="1836"/>
      <c r="F175" s="1836"/>
      <c r="G175" s="1836"/>
      <c r="H175" s="1837"/>
      <c r="I175" s="1451" t="s">
        <v>29</v>
      </c>
      <c r="J175" s="1012"/>
      <c r="K175" s="963" t="s">
        <v>2</v>
      </c>
      <c r="L175" s="1266"/>
      <c r="M175" s="69"/>
      <c r="N175" s="963"/>
      <c r="O175" s="1451" t="s">
        <v>29</v>
      </c>
      <c r="P175" s="1012"/>
      <c r="Q175" s="963" t="s">
        <v>2</v>
      </c>
      <c r="R175" s="1432"/>
      <c r="S175" s="963"/>
      <c r="T175" s="963"/>
      <c r="U175" s="1435" t="s">
        <v>29</v>
      </c>
      <c r="V175" s="1012"/>
      <c r="W175" s="963" t="s">
        <v>2</v>
      </c>
      <c r="X175" s="1266"/>
      <c r="Y175" s="963"/>
      <c r="Z175" s="963"/>
      <c r="AA175" s="1435" t="s">
        <v>29</v>
      </c>
      <c r="AB175" s="1012"/>
      <c r="AC175" s="963" t="s">
        <v>2</v>
      </c>
      <c r="AD175" s="1266"/>
      <c r="AE175" s="963"/>
      <c r="AF175" s="963"/>
      <c r="AG175" s="1435" t="s">
        <v>29</v>
      </c>
      <c r="AH175" s="1012"/>
      <c r="AI175" s="963" t="s">
        <v>2</v>
      </c>
      <c r="AJ175" s="1266"/>
      <c r="AK175" s="963"/>
      <c r="AL175" s="963"/>
      <c r="AM175" s="1435" t="s">
        <v>29</v>
      </c>
      <c r="AN175" s="1012"/>
      <c r="AO175" s="963" t="s">
        <v>2</v>
      </c>
      <c r="AP175" s="1266"/>
      <c r="AQ175" s="963"/>
    </row>
    <row r="176" spans="1:59" s="7" customFormat="1" ht="16.149999999999999" customHeight="1" x14ac:dyDescent="0.25">
      <c r="A176" s="1835"/>
      <c r="B176" s="1836"/>
      <c r="C176" s="1836"/>
      <c r="D176" s="1836"/>
      <c r="E176" s="1836"/>
      <c r="F176" s="1836"/>
      <c r="G176" s="1836"/>
      <c r="H176" s="1837"/>
      <c r="I176" s="1452"/>
      <c r="J176" s="1012"/>
      <c r="K176" s="963" t="s">
        <v>4</v>
      </c>
      <c r="L176" s="1267"/>
      <c r="M176" s="69"/>
      <c r="N176" s="963"/>
      <c r="O176" s="1452"/>
      <c r="P176" s="1012"/>
      <c r="Q176" s="963" t="s">
        <v>4</v>
      </c>
      <c r="R176" s="1433"/>
      <c r="S176" s="963"/>
      <c r="T176" s="963"/>
      <c r="U176" s="1437"/>
      <c r="V176" s="1012"/>
      <c r="W176" s="963" t="s">
        <v>4</v>
      </c>
      <c r="X176" s="1267"/>
      <c r="Y176" s="963"/>
      <c r="Z176" s="963"/>
      <c r="AA176" s="1437"/>
      <c r="AB176" s="1012"/>
      <c r="AC176" s="963" t="s">
        <v>4</v>
      </c>
      <c r="AD176" s="1267"/>
      <c r="AE176" s="963"/>
      <c r="AF176" s="963"/>
      <c r="AG176" s="1437"/>
      <c r="AH176" s="1012"/>
      <c r="AI176" s="963" t="s">
        <v>4</v>
      </c>
      <c r="AJ176" s="1267"/>
      <c r="AK176" s="963"/>
      <c r="AL176" s="963"/>
      <c r="AM176" s="1437"/>
      <c r="AN176" s="1012"/>
      <c r="AO176" s="963" t="s">
        <v>4</v>
      </c>
      <c r="AP176" s="1267"/>
      <c r="AQ176" s="963"/>
    </row>
    <row r="177" spans="1:43" s="7" customFormat="1" ht="16.149999999999999" customHeight="1" x14ac:dyDescent="0.25">
      <c r="A177" s="1835"/>
      <c r="B177" s="1836"/>
      <c r="C177" s="1836"/>
      <c r="D177" s="1836"/>
      <c r="E177" s="1836"/>
      <c r="F177" s="1836"/>
      <c r="G177" s="1836"/>
      <c r="H177" s="1837"/>
      <c r="I177" s="1451" t="s">
        <v>30</v>
      </c>
      <c r="J177" s="1012"/>
      <c r="K177" s="963" t="s">
        <v>2</v>
      </c>
      <c r="L177" s="1266"/>
      <c r="M177" s="69"/>
      <c r="N177" s="963"/>
      <c r="O177" s="1451" t="s">
        <v>30</v>
      </c>
      <c r="P177" s="86">
        <f>P159</f>
        <v>5.8468</v>
      </c>
      <c r="Q177" s="963" t="s">
        <v>2</v>
      </c>
      <c r="R177" s="1432">
        <f>R159</f>
        <v>157086.31626000002</v>
      </c>
      <c r="S177" s="963"/>
      <c r="T177" s="963"/>
      <c r="U177" s="1435" t="s">
        <v>30</v>
      </c>
      <c r="V177" s="1012"/>
      <c r="W177" s="963" t="s">
        <v>2</v>
      </c>
      <c r="X177" s="1266"/>
      <c r="Y177" s="963"/>
      <c r="Z177" s="963"/>
      <c r="AA177" s="1435" t="s">
        <v>30</v>
      </c>
      <c r="AB177" s="1012"/>
      <c r="AC177" s="963" t="s">
        <v>2</v>
      </c>
      <c r="AD177" s="1266"/>
      <c r="AE177" s="963"/>
      <c r="AF177" s="963"/>
      <c r="AG177" s="1435" t="s">
        <v>30</v>
      </c>
      <c r="AH177" s="1012"/>
      <c r="AI177" s="963" t="s">
        <v>2</v>
      </c>
      <c r="AJ177" s="1266"/>
      <c r="AK177" s="963"/>
      <c r="AL177" s="963"/>
      <c r="AM177" s="1435" t="s">
        <v>30</v>
      </c>
      <c r="AN177" s="1012"/>
      <c r="AO177" s="963" t="s">
        <v>2</v>
      </c>
      <c r="AP177" s="1266"/>
      <c r="AQ177" s="963"/>
    </row>
    <row r="178" spans="1:43" s="7" customFormat="1" ht="16.149999999999999" customHeight="1" x14ac:dyDescent="0.25">
      <c r="A178" s="1835"/>
      <c r="B178" s="1836"/>
      <c r="C178" s="1836"/>
      <c r="D178" s="1836"/>
      <c r="E178" s="1836"/>
      <c r="F178" s="1836"/>
      <c r="G178" s="1836"/>
      <c r="H178" s="1837"/>
      <c r="I178" s="1452"/>
      <c r="J178" s="897"/>
      <c r="K178" s="892" t="s">
        <v>4</v>
      </c>
      <c r="L178" s="1268"/>
      <c r="M178" s="290"/>
      <c r="N178" s="892"/>
      <c r="O178" s="1452"/>
      <c r="P178" s="86">
        <f>P160</f>
        <v>41058</v>
      </c>
      <c r="Q178" s="892" t="s">
        <v>4</v>
      </c>
      <c r="R178" s="1465"/>
      <c r="S178" s="892"/>
      <c r="T178" s="892"/>
      <c r="U178" s="1437"/>
      <c r="V178" s="897"/>
      <c r="W178" s="892" t="s">
        <v>4</v>
      </c>
      <c r="X178" s="1268"/>
      <c r="Y178" s="892"/>
      <c r="Z178" s="892"/>
      <c r="AA178" s="1437"/>
      <c r="AB178" s="897"/>
      <c r="AC178" s="892" t="s">
        <v>4</v>
      </c>
      <c r="AD178" s="1268"/>
      <c r="AE178" s="892"/>
      <c r="AF178" s="892"/>
      <c r="AG178" s="1437"/>
      <c r="AH178" s="897"/>
      <c r="AI178" s="892" t="s">
        <v>4</v>
      </c>
      <c r="AJ178" s="1268"/>
      <c r="AK178" s="892"/>
      <c r="AL178" s="892"/>
      <c r="AM178" s="1437"/>
      <c r="AN178" s="897"/>
      <c r="AO178" s="892" t="s">
        <v>4</v>
      </c>
      <c r="AP178" s="1268"/>
      <c r="AQ178" s="892"/>
    </row>
    <row r="179" spans="1:43" s="97" customFormat="1" ht="16.149999999999999" customHeight="1" x14ac:dyDescent="0.25">
      <c r="A179" s="1835"/>
      <c r="B179" s="1836"/>
      <c r="C179" s="1836"/>
      <c r="D179" s="1836"/>
      <c r="E179" s="1836"/>
      <c r="F179" s="1836"/>
      <c r="G179" s="1836"/>
      <c r="H179" s="1837"/>
      <c r="I179" s="1269" t="s">
        <v>1168</v>
      </c>
      <c r="J179" s="1269"/>
      <c r="K179" s="1269"/>
      <c r="L179" s="1061"/>
      <c r="N179" s="887"/>
      <c r="O179" s="1269" t="s">
        <v>1168</v>
      </c>
      <c r="P179" s="1269"/>
      <c r="Q179" s="1269"/>
      <c r="R179" s="1061"/>
      <c r="S179" s="887"/>
      <c r="T179" s="887"/>
      <c r="U179" s="1269" t="s">
        <v>1168</v>
      </c>
      <c r="V179" s="1269"/>
      <c r="W179" s="1269"/>
      <c r="X179" s="1061"/>
      <c r="Y179" s="887"/>
      <c r="Z179" s="887"/>
      <c r="AA179" s="1269" t="s">
        <v>1168</v>
      </c>
      <c r="AB179" s="1269"/>
      <c r="AC179" s="1269"/>
      <c r="AD179" s="1061"/>
      <c r="AE179" s="887"/>
      <c r="AF179" s="887"/>
      <c r="AG179" s="1269" t="s">
        <v>1168</v>
      </c>
      <c r="AH179" s="1269"/>
      <c r="AI179" s="1269"/>
      <c r="AJ179" s="1061"/>
      <c r="AK179" s="887"/>
      <c r="AL179" s="887"/>
      <c r="AM179" s="1269" t="s">
        <v>1168</v>
      </c>
      <c r="AN179" s="1269"/>
      <c r="AO179" s="1269"/>
      <c r="AP179" s="1061"/>
      <c r="AQ179" s="887"/>
    </row>
    <row r="180" spans="1:43" s="97" customFormat="1" ht="16.149999999999999" customHeight="1" x14ac:dyDescent="0.25">
      <c r="A180" s="1835"/>
      <c r="B180" s="1836"/>
      <c r="C180" s="1836"/>
      <c r="D180" s="1836"/>
      <c r="E180" s="1836"/>
      <c r="F180" s="1836"/>
      <c r="G180" s="1836"/>
      <c r="H180" s="1837"/>
      <c r="I180" s="1269" t="s">
        <v>1170</v>
      </c>
      <c r="J180" s="1269"/>
      <c r="K180" s="1269"/>
      <c r="L180" s="1061"/>
      <c r="N180" s="887"/>
      <c r="O180" s="1269" t="s">
        <v>1170</v>
      </c>
      <c r="P180" s="1269"/>
      <c r="Q180" s="1269"/>
      <c r="R180" s="1061">
        <f>R25</f>
        <v>0</v>
      </c>
      <c r="S180" s="887"/>
      <c r="T180" s="887"/>
      <c r="U180" s="1269" t="s">
        <v>1170</v>
      </c>
      <c r="V180" s="1269"/>
      <c r="W180" s="1269"/>
      <c r="X180" s="1061"/>
      <c r="Y180" s="887"/>
      <c r="Z180" s="887"/>
      <c r="AA180" s="1269" t="s">
        <v>1170</v>
      </c>
      <c r="AB180" s="1269"/>
      <c r="AC180" s="1269"/>
      <c r="AD180" s="1061"/>
      <c r="AE180" s="887"/>
      <c r="AF180" s="887"/>
      <c r="AG180" s="1269" t="s">
        <v>1170</v>
      </c>
      <c r="AH180" s="1269"/>
      <c r="AI180" s="1269"/>
      <c r="AJ180" s="1061"/>
      <c r="AK180" s="887"/>
      <c r="AL180" s="887"/>
      <c r="AM180" s="1269" t="s">
        <v>1170</v>
      </c>
      <c r="AN180" s="1269"/>
      <c r="AO180" s="1269"/>
      <c r="AP180" s="1061"/>
      <c r="AQ180" s="887"/>
    </row>
    <row r="181" spans="1:43" s="97" customFormat="1" ht="16.149999999999999" customHeight="1" x14ac:dyDescent="0.25">
      <c r="A181" s="1835"/>
      <c r="B181" s="1836"/>
      <c r="C181" s="1836"/>
      <c r="D181" s="1836"/>
      <c r="E181" s="1836"/>
      <c r="F181" s="1836"/>
      <c r="G181" s="1836"/>
      <c r="H181" s="1837"/>
      <c r="I181" s="1269" t="s">
        <v>1169</v>
      </c>
      <c r="J181" s="1269"/>
      <c r="K181" s="1269"/>
      <c r="L181" s="1061"/>
      <c r="N181" s="887"/>
      <c r="O181" s="1269" t="s">
        <v>1169</v>
      </c>
      <c r="P181" s="1269"/>
      <c r="Q181" s="1269"/>
      <c r="R181" s="1061"/>
      <c r="S181" s="887"/>
      <c r="T181" s="887"/>
      <c r="U181" s="1269" t="s">
        <v>1169</v>
      </c>
      <c r="V181" s="1269"/>
      <c r="W181" s="1269"/>
      <c r="X181" s="1061"/>
      <c r="Y181" s="887"/>
      <c r="Z181" s="887"/>
      <c r="AA181" s="1269" t="s">
        <v>1169</v>
      </c>
      <c r="AB181" s="1269"/>
      <c r="AC181" s="1269"/>
      <c r="AD181" s="1061"/>
      <c r="AE181" s="887"/>
      <c r="AF181" s="887"/>
      <c r="AG181" s="1269" t="s">
        <v>1169</v>
      </c>
      <c r="AH181" s="1269"/>
      <c r="AI181" s="1269"/>
      <c r="AJ181" s="1061"/>
      <c r="AK181" s="887"/>
      <c r="AL181" s="887"/>
      <c r="AM181" s="1269" t="s">
        <v>1169</v>
      </c>
      <c r="AN181" s="1269"/>
      <c r="AO181" s="1269"/>
      <c r="AP181" s="1061"/>
      <c r="AQ181" s="887"/>
    </row>
    <row r="182" spans="1:43" s="7" customFormat="1" ht="16.149999999999999" customHeight="1" x14ac:dyDescent="0.25">
      <c r="A182" s="1835"/>
      <c r="B182" s="1836"/>
      <c r="C182" s="1836"/>
      <c r="D182" s="1836"/>
      <c r="E182" s="1836"/>
      <c r="F182" s="1836"/>
      <c r="G182" s="1836"/>
      <c r="H182" s="1837"/>
      <c r="I182" s="1451" t="s">
        <v>31</v>
      </c>
      <c r="J182" s="896"/>
      <c r="K182" s="893" t="s">
        <v>2</v>
      </c>
      <c r="L182" s="1266">
        <f>L154</f>
        <v>2308881.92</v>
      </c>
      <c r="M182" s="291"/>
      <c r="N182" s="893"/>
      <c r="O182" s="1451" t="s">
        <v>31</v>
      </c>
      <c r="P182" s="896"/>
      <c r="Q182" s="893" t="s">
        <v>2</v>
      </c>
      <c r="R182" s="1432">
        <f>R157</f>
        <v>3067811.91653</v>
      </c>
      <c r="S182" s="893"/>
      <c r="T182" s="893"/>
      <c r="U182" s="1435" t="s">
        <v>31</v>
      </c>
      <c r="V182" s="896"/>
      <c r="W182" s="893" t="s">
        <v>2</v>
      </c>
      <c r="X182" s="1432">
        <f>X157</f>
        <v>3903710.57008</v>
      </c>
      <c r="Y182" s="893"/>
      <c r="Z182" s="893"/>
      <c r="AA182" s="1435" t="s">
        <v>31</v>
      </c>
      <c r="AB182" s="489">
        <f>AB154</f>
        <v>21.73</v>
      </c>
      <c r="AC182" s="893" t="s">
        <v>2</v>
      </c>
      <c r="AD182" s="1432">
        <f>AD157</f>
        <v>0.01</v>
      </c>
      <c r="AE182" s="893"/>
      <c r="AF182" s="893"/>
      <c r="AG182" s="1435" t="s">
        <v>31</v>
      </c>
      <c r="AH182" s="896"/>
      <c r="AI182" s="893" t="s">
        <v>2</v>
      </c>
      <c r="AJ182" s="1266"/>
      <c r="AK182" s="893"/>
      <c r="AL182" s="893"/>
      <c r="AM182" s="1435" t="s">
        <v>31</v>
      </c>
      <c r="AN182" s="896"/>
      <c r="AO182" s="893" t="s">
        <v>2</v>
      </c>
      <c r="AP182" s="1266"/>
      <c r="AQ182" s="893"/>
    </row>
    <row r="183" spans="1:43" s="7" customFormat="1" ht="16.149999999999999" customHeight="1" x14ac:dyDescent="0.25">
      <c r="A183" s="1835"/>
      <c r="B183" s="1836"/>
      <c r="C183" s="1836"/>
      <c r="D183" s="1836"/>
      <c r="E183" s="1836"/>
      <c r="F183" s="1836"/>
      <c r="G183" s="1836"/>
      <c r="H183" s="1837"/>
      <c r="I183" s="1452"/>
      <c r="J183" s="1012"/>
      <c r="K183" s="963" t="s">
        <v>4</v>
      </c>
      <c r="L183" s="1267"/>
      <c r="M183" s="69"/>
      <c r="N183" s="963"/>
      <c r="O183" s="1452"/>
      <c r="P183" s="1012"/>
      <c r="Q183" s="963" t="s">
        <v>4</v>
      </c>
      <c r="R183" s="1433"/>
      <c r="S183" s="963"/>
      <c r="T183" s="963"/>
      <c r="U183" s="1437"/>
      <c r="V183" s="1012"/>
      <c r="W183" s="963" t="s">
        <v>4</v>
      </c>
      <c r="X183" s="1433"/>
      <c r="Y183" s="963"/>
      <c r="Z183" s="963"/>
      <c r="AA183" s="1437"/>
      <c r="AB183" s="1012">
        <f>AB155</f>
        <v>2751700</v>
      </c>
      <c r="AC183" s="963" t="s">
        <v>4</v>
      </c>
      <c r="AD183" s="1433"/>
      <c r="AE183" s="963"/>
      <c r="AF183" s="963"/>
      <c r="AG183" s="1437"/>
      <c r="AH183" s="1012"/>
      <c r="AI183" s="963" t="s">
        <v>4</v>
      </c>
      <c r="AJ183" s="1267"/>
      <c r="AK183" s="963"/>
      <c r="AL183" s="963"/>
      <c r="AM183" s="1437"/>
      <c r="AN183" s="1012"/>
      <c r="AO183" s="963" t="s">
        <v>4</v>
      </c>
      <c r="AP183" s="1267"/>
      <c r="AQ183" s="963"/>
    </row>
    <row r="184" spans="1:43" s="7" customFormat="1" ht="16.149999999999999" customHeight="1" x14ac:dyDescent="0.25">
      <c r="A184" s="1835"/>
      <c r="B184" s="1836"/>
      <c r="C184" s="1836"/>
      <c r="D184" s="1836"/>
      <c r="E184" s="1836"/>
      <c r="F184" s="1836"/>
      <c r="G184" s="1836"/>
      <c r="H184" s="1837"/>
      <c r="I184" s="1451" t="s">
        <v>1126</v>
      </c>
      <c r="J184" s="1012"/>
      <c r="K184" s="963" t="s">
        <v>1132</v>
      </c>
      <c r="L184" s="1266"/>
      <c r="M184" s="69"/>
      <c r="N184" s="963"/>
      <c r="O184" s="1451" t="s">
        <v>1126</v>
      </c>
      <c r="P184" s="1012"/>
      <c r="Q184" s="963" t="s">
        <v>1132</v>
      </c>
      <c r="R184" s="1432"/>
      <c r="S184" s="963"/>
      <c r="T184" s="963"/>
      <c r="U184" s="1435" t="s">
        <v>1126</v>
      </c>
      <c r="V184" s="1012"/>
      <c r="W184" s="963" t="s">
        <v>1132</v>
      </c>
      <c r="X184" s="1266"/>
      <c r="Y184" s="963"/>
      <c r="Z184" s="963"/>
      <c r="AA184" s="1435" t="s">
        <v>1126</v>
      </c>
      <c r="AB184" s="1012"/>
      <c r="AC184" s="963" t="s">
        <v>1132</v>
      </c>
      <c r="AD184" s="1266"/>
      <c r="AE184" s="963"/>
      <c r="AF184" s="963"/>
      <c r="AG184" s="1435" t="s">
        <v>1126</v>
      </c>
      <c r="AH184" s="1012"/>
      <c r="AI184" s="963" t="s">
        <v>1132</v>
      </c>
      <c r="AJ184" s="1266"/>
      <c r="AK184" s="963"/>
      <c r="AL184" s="963"/>
      <c r="AM184" s="1435" t="s">
        <v>1126</v>
      </c>
      <c r="AN184" s="1012"/>
      <c r="AO184" s="963" t="s">
        <v>1132</v>
      </c>
      <c r="AP184" s="1266"/>
      <c r="AQ184" s="963"/>
    </row>
    <row r="185" spans="1:43" s="7" customFormat="1" ht="14.1" customHeight="1" x14ac:dyDescent="0.25">
      <c r="A185" s="1835"/>
      <c r="B185" s="1836"/>
      <c r="C185" s="1836"/>
      <c r="D185" s="1836"/>
      <c r="E185" s="1836"/>
      <c r="F185" s="1836"/>
      <c r="G185" s="1836"/>
      <c r="H185" s="1837"/>
      <c r="I185" s="1456"/>
      <c r="J185" s="1012"/>
      <c r="K185" s="963" t="s">
        <v>2</v>
      </c>
      <c r="L185" s="1267"/>
      <c r="M185" s="69"/>
      <c r="N185" s="963"/>
      <c r="O185" s="1456"/>
      <c r="P185" s="1012"/>
      <c r="Q185" s="963" t="s">
        <v>2</v>
      </c>
      <c r="R185" s="1433"/>
      <c r="S185" s="963"/>
      <c r="T185" s="963"/>
      <c r="U185" s="1436"/>
      <c r="V185" s="1012"/>
      <c r="W185" s="963" t="s">
        <v>2</v>
      </c>
      <c r="X185" s="1267"/>
      <c r="Y185" s="963"/>
      <c r="Z185" s="963"/>
      <c r="AA185" s="1436"/>
      <c r="AB185" s="1012"/>
      <c r="AC185" s="963" t="s">
        <v>2</v>
      </c>
      <c r="AD185" s="1267"/>
      <c r="AE185" s="963"/>
      <c r="AF185" s="963"/>
      <c r="AG185" s="1436"/>
      <c r="AH185" s="1012"/>
      <c r="AI185" s="963" t="s">
        <v>2</v>
      </c>
      <c r="AJ185" s="1267"/>
      <c r="AK185" s="963"/>
      <c r="AL185" s="963"/>
      <c r="AM185" s="1436"/>
      <c r="AN185" s="1012"/>
      <c r="AO185" s="963" t="s">
        <v>2</v>
      </c>
      <c r="AP185" s="1267"/>
      <c r="AQ185" s="963"/>
    </row>
    <row r="186" spans="1:43" s="7" customFormat="1" ht="16.149999999999999" customHeight="1" x14ac:dyDescent="0.25">
      <c r="A186" s="1835"/>
      <c r="B186" s="1836"/>
      <c r="C186" s="1836"/>
      <c r="D186" s="1836"/>
      <c r="E186" s="1836"/>
      <c r="F186" s="1836"/>
      <c r="G186" s="1836"/>
      <c r="H186" s="1837"/>
      <c r="I186" s="1452"/>
      <c r="J186" s="1012"/>
      <c r="K186" s="963" t="s">
        <v>4</v>
      </c>
      <c r="L186" s="1268"/>
      <c r="M186" s="69"/>
      <c r="N186" s="963"/>
      <c r="O186" s="1452"/>
      <c r="P186" s="1012"/>
      <c r="Q186" s="963" t="s">
        <v>4</v>
      </c>
      <c r="R186" s="1465"/>
      <c r="S186" s="963"/>
      <c r="T186" s="963"/>
      <c r="U186" s="1437"/>
      <c r="V186" s="1012"/>
      <c r="W186" s="963" t="s">
        <v>4</v>
      </c>
      <c r="X186" s="1268"/>
      <c r="Y186" s="963"/>
      <c r="Z186" s="963"/>
      <c r="AA186" s="1437"/>
      <c r="AB186" s="1012"/>
      <c r="AC186" s="963" t="s">
        <v>4</v>
      </c>
      <c r="AD186" s="1268"/>
      <c r="AE186" s="963"/>
      <c r="AF186" s="963"/>
      <c r="AG186" s="1437"/>
      <c r="AH186" s="1012"/>
      <c r="AI186" s="963" t="s">
        <v>4</v>
      </c>
      <c r="AJ186" s="1268"/>
      <c r="AK186" s="963"/>
      <c r="AL186" s="963"/>
      <c r="AM186" s="1437"/>
      <c r="AN186" s="1012"/>
      <c r="AO186" s="963" t="s">
        <v>4</v>
      </c>
      <c r="AP186" s="1268"/>
      <c r="AQ186" s="963"/>
    </row>
    <row r="187" spans="1:43" s="7" customFormat="1" ht="16.149999999999999" customHeight="1" x14ac:dyDescent="0.25">
      <c r="A187" s="1835"/>
      <c r="B187" s="1836"/>
      <c r="C187" s="1836"/>
      <c r="D187" s="1836"/>
      <c r="E187" s="1836"/>
      <c r="F187" s="1836"/>
      <c r="G187" s="1836"/>
      <c r="H187" s="1837"/>
      <c r="I187" s="1451" t="s">
        <v>1125</v>
      </c>
      <c r="J187" s="1012"/>
      <c r="K187" s="963" t="s">
        <v>1132</v>
      </c>
      <c r="L187" s="1266"/>
      <c r="M187" s="69"/>
      <c r="N187" s="963"/>
      <c r="O187" s="1451" t="s">
        <v>1125</v>
      </c>
      <c r="P187" s="1012"/>
      <c r="Q187" s="963" t="s">
        <v>1132</v>
      </c>
      <c r="R187" s="1432"/>
      <c r="S187" s="963"/>
      <c r="T187" s="963"/>
      <c r="U187" s="1435" t="s">
        <v>1125</v>
      </c>
      <c r="V187" s="1012"/>
      <c r="W187" s="963" t="s">
        <v>1132</v>
      </c>
      <c r="X187" s="1266"/>
      <c r="Y187" s="963"/>
      <c r="Z187" s="963"/>
      <c r="AA187" s="1435" t="s">
        <v>1125</v>
      </c>
      <c r="AB187" s="1012"/>
      <c r="AC187" s="963" t="s">
        <v>1132</v>
      </c>
      <c r="AD187" s="1266"/>
      <c r="AE187" s="963"/>
      <c r="AF187" s="963"/>
      <c r="AG187" s="1435" t="s">
        <v>1125</v>
      </c>
      <c r="AH187" s="1012"/>
      <c r="AI187" s="963" t="s">
        <v>1132</v>
      </c>
      <c r="AJ187" s="1266"/>
      <c r="AK187" s="963"/>
      <c r="AL187" s="963"/>
      <c r="AM187" s="1435" t="s">
        <v>1125</v>
      </c>
      <c r="AN187" s="1012"/>
      <c r="AO187" s="963" t="s">
        <v>1132</v>
      </c>
      <c r="AP187" s="1266"/>
      <c r="AQ187" s="963"/>
    </row>
    <row r="188" spans="1:43" s="7" customFormat="1" ht="14.1" customHeight="1" x14ac:dyDescent="0.25">
      <c r="A188" s="1835"/>
      <c r="B188" s="1836"/>
      <c r="C188" s="1836"/>
      <c r="D188" s="1836"/>
      <c r="E188" s="1836"/>
      <c r="F188" s="1836"/>
      <c r="G188" s="1836"/>
      <c r="H188" s="1837"/>
      <c r="I188" s="1456"/>
      <c r="J188" s="1012"/>
      <c r="K188" s="963" t="s">
        <v>2</v>
      </c>
      <c r="L188" s="1267"/>
      <c r="M188" s="69"/>
      <c r="N188" s="963"/>
      <c r="O188" s="1456"/>
      <c r="P188" s="1012"/>
      <c r="Q188" s="963" t="s">
        <v>2</v>
      </c>
      <c r="R188" s="1433"/>
      <c r="S188" s="963"/>
      <c r="T188" s="963"/>
      <c r="U188" s="1436"/>
      <c r="V188" s="1012"/>
      <c r="W188" s="963" t="s">
        <v>2</v>
      </c>
      <c r="X188" s="1267"/>
      <c r="Y188" s="963"/>
      <c r="Z188" s="963"/>
      <c r="AA188" s="1436"/>
      <c r="AB188" s="1012"/>
      <c r="AC188" s="963" t="s">
        <v>2</v>
      </c>
      <c r="AD188" s="1267"/>
      <c r="AE188" s="963"/>
      <c r="AF188" s="963"/>
      <c r="AG188" s="1436"/>
      <c r="AH188" s="1012"/>
      <c r="AI188" s="963" t="s">
        <v>2</v>
      </c>
      <c r="AJ188" s="1267"/>
      <c r="AK188" s="963"/>
      <c r="AL188" s="963"/>
      <c r="AM188" s="1436"/>
      <c r="AN188" s="1012"/>
      <c r="AO188" s="963" t="s">
        <v>2</v>
      </c>
      <c r="AP188" s="1267"/>
      <c r="AQ188" s="963"/>
    </row>
    <row r="189" spans="1:43" s="7" customFormat="1" ht="16.149999999999999" customHeight="1" x14ac:dyDescent="0.25">
      <c r="A189" s="1835"/>
      <c r="B189" s="1836"/>
      <c r="C189" s="1836"/>
      <c r="D189" s="1836"/>
      <c r="E189" s="1836"/>
      <c r="F189" s="1836"/>
      <c r="G189" s="1836"/>
      <c r="H189" s="1837"/>
      <c r="I189" s="1452"/>
      <c r="J189" s="1012"/>
      <c r="K189" s="963" t="s">
        <v>4</v>
      </c>
      <c r="L189" s="1268"/>
      <c r="M189" s="69"/>
      <c r="N189" s="963"/>
      <c r="O189" s="1452"/>
      <c r="P189" s="1012"/>
      <c r="Q189" s="963" t="s">
        <v>4</v>
      </c>
      <c r="R189" s="1465"/>
      <c r="S189" s="963"/>
      <c r="T189" s="963"/>
      <c r="U189" s="1437"/>
      <c r="V189" s="1012"/>
      <c r="W189" s="963" t="s">
        <v>4</v>
      </c>
      <c r="X189" s="1268"/>
      <c r="Y189" s="963"/>
      <c r="Z189" s="963"/>
      <c r="AA189" s="1437"/>
      <c r="AB189" s="1012"/>
      <c r="AC189" s="963" t="s">
        <v>4</v>
      </c>
      <c r="AD189" s="1268"/>
      <c r="AE189" s="963"/>
      <c r="AF189" s="963"/>
      <c r="AG189" s="1437"/>
      <c r="AH189" s="1012"/>
      <c r="AI189" s="963" t="s">
        <v>4</v>
      </c>
      <c r="AJ189" s="1268"/>
      <c r="AK189" s="963"/>
      <c r="AL189" s="963"/>
      <c r="AM189" s="1437"/>
      <c r="AN189" s="1012"/>
      <c r="AO189" s="963" t="s">
        <v>4</v>
      </c>
      <c r="AP189" s="1268"/>
      <c r="AQ189" s="963"/>
    </row>
    <row r="190" spans="1:43" s="7" customFormat="1" ht="16.149999999999999" customHeight="1" x14ac:dyDescent="0.25">
      <c r="A190" s="1835"/>
      <c r="B190" s="1836"/>
      <c r="C190" s="1836"/>
      <c r="D190" s="1836"/>
      <c r="E190" s="1836"/>
      <c r="F190" s="1836"/>
      <c r="G190" s="1836"/>
      <c r="H190" s="1837"/>
      <c r="I190" s="1451" t="s">
        <v>1127</v>
      </c>
      <c r="J190" s="1012"/>
      <c r="K190" s="963" t="s">
        <v>1132</v>
      </c>
      <c r="L190" s="1266"/>
      <c r="M190" s="69"/>
      <c r="N190" s="963"/>
      <c r="O190" s="1451" t="s">
        <v>1127</v>
      </c>
      <c r="P190" s="1012"/>
      <c r="Q190" s="963" t="s">
        <v>1132</v>
      </c>
      <c r="R190" s="1432"/>
      <c r="S190" s="963"/>
      <c r="T190" s="963"/>
      <c r="U190" s="1435" t="s">
        <v>1127</v>
      </c>
      <c r="V190" s="1012"/>
      <c r="W190" s="963" t="s">
        <v>1132</v>
      </c>
      <c r="X190" s="1266"/>
      <c r="Y190" s="963"/>
      <c r="Z190" s="963"/>
      <c r="AA190" s="1435" t="s">
        <v>1127</v>
      </c>
      <c r="AB190" s="1012"/>
      <c r="AC190" s="963" t="s">
        <v>1132</v>
      </c>
      <c r="AD190" s="1266"/>
      <c r="AE190" s="963"/>
      <c r="AF190" s="963"/>
      <c r="AG190" s="1435" t="s">
        <v>1127</v>
      </c>
      <c r="AH190" s="1012"/>
      <c r="AI190" s="963" t="s">
        <v>1132</v>
      </c>
      <c r="AJ190" s="1266"/>
      <c r="AK190" s="963"/>
      <c r="AL190" s="963"/>
      <c r="AM190" s="1435" t="s">
        <v>1127</v>
      </c>
      <c r="AN190" s="1012"/>
      <c r="AO190" s="963" t="s">
        <v>1132</v>
      </c>
      <c r="AP190" s="1266"/>
      <c r="AQ190" s="963"/>
    </row>
    <row r="191" spans="1:43" s="7" customFormat="1" ht="14.1" customHeight="1" x14ac:dyDescent="0.25">
      <c r="A191" s="1835"/>
      <c r="B191" s="1836"/>
      <c r="C191" s="1836"/>
      <c r="D191" s="1836"/>
      <c r="E191" s="1836"/>
      <c r="F191" s="1836"/>
      <c r="G191" s="1836"/>
      <c r="H191" s="1837"/>
      <c r="I191" s="1456"/>
      <c r="J191" s="1012"/>
      <c r="K191" s="963" t="s">
        <v>2</v>
      </c>
      <c r="L191" s="1267"/>
      <c r="M191" s="69"/>
      <c r="N191" s="963"/>
      <c r="O191" s="1456"/>
      <c r="P191" s="1012"/>
      <c r="Q191" s="963" t="s">
        <v>2</v>
      </c>
      <c r="R191" s="1433"/>
      <c r="S191" s="963"/>
      <c r="T191" s="963"/>
      <c r="U191" s="1436"/>
      <c r="V191" s="1012"/>
      <c r="W191" s="963" t="s">
        <v>2</v>
      </c>
      <c r="X191" s="1267"/>
      <c r="Y191" s="963"/>
      <c r="Z191" s="963"/>
      <c r="AA191" s="1436"/>
      <c r="AB191" s="1012"/>
      <c r="AC191" s="963" t="s">
        <v>2</v>
      </c>
      <c r="AD191" s="1267"/>
      <c r="AE191" s="963"/>
      <c r="AF191" s="963"/>
      <c r="AG191" s="1436"/>
      <c r="AH191" s="1012"/>
      <c r="AI191" s="963" t="s">
        <v>2</v>
      </c>
      <c r="AJ191" s="1267"/>
      <c r="AK191" s="963"/>
      <c r="AL191" s="963"/>
      <c r="AM191" s="1436"/>
      <c r="AN191" s="1012"/>
      <c r="AO191" s="963" t="s">
        <v>2</v>
      </c>
      <c r="AP191" s="1267"/>
      <c r="AQ191" s="963"/>
    </row>
    <row r="192" spans="1:43" s="7" customFormat="1" ht="16.149999999999999" customHeight="1" x14ac:dyDescent="0.25">
      <c r="A192" s="1835"/>
      <c r="B192" s="1836"/>
      <c r="C192" s="1836"/>
      <c r="D192" s="1836"/>
      <c r="E192" s="1836"/>
      <c r="F192" s="1836"/>
      <c r="G192" s="1836"/>
      <c r="H192" s="1837"/>
      <c r="I192" s="1452"/>
      <c r="J192" s="1012"/>
      <c r="K192" s="963" t="s">
        <v>4</v>
      </c>
      <c r="L192" s="1268"/>
      <c r="M192" s="69"/>
      <c r="N192" s="963"/>
      <c r="O192" s="1452"/>
      <c r="P192" s="1012"/>
      <c r="Q192" s="963" t="s">
        <v>4</v>
      </c>
      <c r="R192" s="1465"/>
      <c r="S192" s="963"/>
      <c r="T192" s="963"/>
      <c r="U192" s="1437"/>
      <c r="V192" s="1012"/>
      <c r="W192" s="963" t="s">
        <v>4</v>
      </c>
      <c r="X192" s="1268"/>
      <c r="Y192" s="963"/>
      <c r="Z192" s="963"/>
      <c r="AA192" s="1437"/>
      <c r="AB192" s="1012"/>
      <c r="AC192" s="963" t="s">
        <v>4</v>
      </c>
      <c r="AD192" s="1268"/>
      <c r="AE192" s="963"/>
      <c r="AF192" s="963"/>
      <c r="AG192" s="1437"/>
      <c r="AH192" s="1012"/>
      <c r="AI192" s="963" t="s">
        <v>4</v>
      </c>
      <c r="AJ192" s="1268"/>
      <c r="AK192" s="963"/>
      <c r="AL192" s="963"/>
      <c r="AM192" s="1437"/>
      <c r="AN192" s="1012"/>
      <c r="AO192" s="963" t="s">
        <v>4</v>
      </c>
      <c r="AP192" s="1268"/>
      <c r="AQ192" s="963"/>
    </row>
    <row r="193" spans="1:43" s="7" customFormat="1" ht="16.149999999999999" customHeight="1" x14ac:dyDescent="0.25">
      <c r="A193" s="1835"/>
      <c r="B193" s="1836"/>
      <c r="C193" s="1836"/>
      <c r="D193" s="1836"/>
      <c r="E193" s="1836"/>
      <c r="F193" s="1836"/>
      <c r="G193" s="1836"/>
      <c r="H193" s="1837"/>
      <c r="I193" s="1451" t="s">
        <v>1128</v>
      </c>
      <c r="J193" s="1012"/>
      <c r="K193" s="963" t="s">
        <v>1132</v>
      </c>
      <c r="L193" s="1266"/>
      <c r="M193" s="69"/>
      <c r="N193" s="963"/>
      <c r="O193" s="1451" t="s">
        <v>1128</v>
      </c>
      <c r="P193" s="1012"/>
      <c r="Q193" s="963" t="s">
        <v>1132</v>
      </c>
      <c r="R193" s="1432"/>
      <c r="S193" s="963"/>
      <c r="T193" s="963"/>
      <c r="U193" s="1435" t="s">
        <v>1128</v>
      </c>
      <c r="V193" s="1012"/>
      <c r="W193" s="963" t="s">
        <v>1132</v>
      </c>
      <c r="X193" s="1266"/>
      <c r="Y193" s="963"/>
      <c r="Z193" s="963"/>
      <c r="AA193" s="1435" t="s">
        <v>1128</v>
      </c>
      <c r="AB193" s="1012"/>
      <c r="AC193" s="963" t="s">
        <v>1132</v>
      </c>
      <c r="AD193" s="1266"/>
      <c r="AE193" s="963"/>
      <c r="AF193" s="963"/>
      <c r="AG193" s="1435" t="s">
        <v>1128</v>
      </c>
      <c r="AH193" s="1012"/>
      <c r="AI193" s="963" t="s">
        <v>1132</v>
      </c>
      <c r="AJ193" s="1266">
        <f>AJ153</f>
        <v>0</v>
      </c>
      <c r="AK193" s="963"/>
      <c r="AL193" s="963"/>
      <c r="AM193" s="1435" t="s">
        <v>1128</v>
      </c>
      <c r="AN193" s="1012"/>
      <c r="AO193" s="963" t="s">
        <v>1132</v>
      </c>
      <c r="AP193" s="1266"/>
      <c r="AQ193" s="963"/>
    </row>
    <row r="194" spans="1:43" s="7" customFormat="1" ht="14.1" customHeight="1" x14ac:dyDescent="0.25">
      <c r="A194" s="1835"/>
      <c r="B194" s="1836"/>
      <c r="C194" s="1836"/>
      <c r="D194" s="1836"/>
      <c r="E194" s="1836"/>
      <c r="F194" s="1836"/>
      <c r="G194" s="1836"/>
      <c r="H194" s="1837"/>
      <c r="I194" s="1456"/>
      <c r="J194" s="1012"/>
      <c r="K194" s="963" t="s">
        <v>2</v>
      </c>
      <c r="L194" s="1267"/>
      <c r="M194" s="69"/>
      <c r="N194" s="963"/>
      <c r="O194" s="1456"/>
      <c r="P194" s="1012"/>
      <c r="Q194" s="963" t="s">
        <v>2</v>
      </c>
      <c r="R194" s="1433"/>
      <c r="S194" s="963"/>
      <c r="T194" s="963"/>
      <c r="U194" s="1436"/>
      <c r="V194" s="1012"/>
      <c r="W194" s="963" t="s">
        <v>2</v>
      </c>
      <c r="X194" s="1267"/>
      <c r="Y194" s="963"/>
      <c r="Z194" s="963"/>
      <c r="AA194" s="1436"/>
      <c r="AB194" s="1012"/>
      <c r="AC194" s="963" t="s">
        <v>2</v>
      </c>
      <c r="AD194" s="1267"/>
      <c r="AE194" s="963"/>
      <c r="AF194" s="963"/>
      <c r="AG194" s="1436"/>
      <c r="AH194" s="1012"/>
      <c r="AI194" s="963" t="s">
        <v>2</v>
      </c>
      <c r="AJ194" s="1267"/>
      <c r="AK194" s="963"/>
      <c r="AL194" s="963"/>
      <c r="AM194" s="1436"/>
      <c r="AN194" s="1012"/>
      <c r="AO194" s="963" t="s">
        <v>2</v>
      </c>
      <c r="AP194" s="1267"/>
      <c r="AQ194" s="963"/>
    </row>
    <row r="195" spans="1:43" s="7" customFormat="1" ht="16.149999999999999" customHeight="1" x14ac:dyDescent="0.25">
      <c r="A195" s="1835"/>
      <c r="B195" s="1836"/>
      <c r="C195" s="1836"/>
      <c r="D195" s="1836"/>
      <c r="E195" s="1836"/>
      <c r="F195" s="1836"/>
      <c r="G195" s="1836"/>
      <c r="H195" s="1837"/>
      <c r="I195" s="1452"/>
      <c r="J195" s="1012"/>
      <c r="K195" s="963" t="s">
        <v>4</v>
      </c>
      <c r="L195" s="1268"/>
      <c r="M195" s="69"/>
      <c r="N195" s="963"/>
      <c r="O195" s="1452"/>
      <c r="P195" s="1012"/>
      <c r="Q195" s="963" t="s">
        <v>4</v>
      </c>
      <c r="R195" s="1465"/>
      <c r="S195" s="963"/>
      <c r="T195" s="963"/>
      <c r="U195" s="1437"/>
      <c r="V195" s="1012"/>
      <c r="W195" s="963" t="s">
        <v>4</v>
      </c>
      <c r="X195" s="1268"/>
      <c r="Y195" s="963"/>
      <c r="Z195" s="963"/>
      <c r="AA195" s="1437"/>
      <c r="AB195" s="1012"/>
      <c r="AC195" s="963" t="s">
        <v>4</v>
      </c>
      <c r="AD195" s="1268"/>
      <c r="AE195" s="963"/>
      <c r="AF195" s="963"/>
      <c r="AG195" s="1437"/>
      <c r="AH195" s="1012"/>
      <c r="AI195" s="963" t="s">
        <v>4</v>
      </c>
      <c r="AJ195" s="1268"/>
      <c r="AK195" s="963"/>
      <c r="AL195" s="963"/>
      <c r="AM195" s="1437"/>
      <c r="AN195" s="1012"/>
      <c r="AO195" s="963" t="s">
        <v>4</v>
      </c>
      <c r="AP195" s="1268"/>
      <c r="AQ195" s="963"/>
    </row>
    <row r="196" spans="1:43" s="7" customFormat="1" ht="36.6" customHeight="1" x14ac:dyDescent="0.25">
      <c r="A196" s="1835"/>
      <c r="B196" s="1836"/>
      <c r="C196" s="1836"/>
      <c r="D196" s="1836"/>
      <c r="E196" s="1836"/>
      <c r="F196" s="1836"/>
      <c r="G196" s="1836"/>
      <c r="H196" s="1837"/>
      <c r="I196" s="959" t="s">
        <v>1147</v>
      </c>
      <c r="J196" s="1012">
        <f>J46+J71+J82</f>
        <v>99.72999999999999</v>
      </c>
      <c r="K196" s="963" t="s">
        <v>2</v>
      </c>
      <c r="L196" s="1012">
        <f>L46+L71+L82</f>
        <v>1414.6579999999999</v>
      </c>
      <c r="M196" s="69"/>
      <c r="N196" s="963"/>
      <c r="O196" s="959" t="s">
        <v>8</v>
      </c>
      <c r="P196" s="1012">
        <f>P11+P14+P23+P27+P37+P89+P96+P161+P77</f>
        <v>149.1568</v>
      </c>
      <c r="Q196" s="963" t="s">
        <v>2</v>
      </c>
      <c r="R196" s="1012">
        <f>R11+R14+R23+R27+R37+R89+R96+R161+R77</f>
        <v>6258.1909999999998</v>
      </c>
      <c r="S196" s="963"/>
      <c r="T196" s="963"/>
      <c r="U196" s="956" t="s">
        <v>8</v>
      </c>
      <c r="V196" s="1012">
        <f>V116+V106+V140+V146</f>
        <v>31.3264</v>
      </c>
      <c r="W196" s="963" t="s">
        <v>2</v>
      </c>
      <c r="X196" s="1012">
        <f>X116+X106+X140+X146</f>
        <v>423.54300000000001</v>
      </c>
      <c r="Y196" s="963"/>
      <c r="Z196" s="963"/>
      <c r="AA196" s="956" t="s">
        <v>8</v>
      </c>
      <c r="AB196" s="1012"/>
      <c r="AC196" s="963" t="s">
        <v>2</v>
      </c>
      <c r="AD196" s="124"/>
      <c r="AE196" s="963"/>
      <c r="AF196" s="963"/>
      <c r="AG196" s="956" t="s">
        <v>8</v>
      </c>
      <c r="AH196" s="1012"/>
      <c r="AI196" s="963" t="s">
        <v>2</v>
      </c>
      <c r="AJ196" s="124"/>
      <c r="AK196" s="963"/>
      <c r="AL196" s="963"/>
      <c r="AM196" s="956" t="s">
        <v>8</v>
      </c>
      <c r="AN196" s="1012"/>
      <c r="AO196" s="963" t="s">
        <v>2</v>
      </c>
      <c r="AP196" s="124"/>
      <c r="AQ196" s="963"/>
    </row>
    <row r="197" spans="1:43" s="7" customFormat="1" ht="31.5" x14ac:dyDescent="0.25">
      <c r="A197" s="1835"/>
      <c r="B197" s="1836"/>
      <c r="C197" s="1836"/>
      <c r="D197" s="1836"/>
      <c r="E197" s="1836"/>
      <c r="F197" s="1836"/>
      <c r="G197" s="1836"/>
      <c r="H197" s="1837"/>
      <c r="I197" s="121" t="s">
        <v>9</v>
      </c>
      <c r="J197" s="1012"/>
      <c r="K197" s="963" t="s">
        <v>10</v>
      </c>
      <c r="L197" s="1012"/>
      <c r="M197" s="69"/>
      <c r="N197" s="963"/>
      <c r="O197" s="121" t="s">
        <v>9</v>
      </c>
      <c r="P197" s="1012"/>
      <c r="Q197" s="963" t="s">
        <v>10</v>
      </c>
      <c r="R197" s="115"/>
      <c r="S197" s="963"/>
      <c r="T197" s="963"/>
      <c r="U197" s="52" t="s">
        <v>9</v>
      </c>
      <c r="V197" s="1012"/>
      <c r="W197" s="963" t="s">
        <v>10</v>
      </c>
      <c r="X197" s="1012"/>
      <c r="Y197" s="963"/>
      <c r="Z197" s="963"/>
      <c r="AA197" s="52" t="s">
        <v>9</v>
      </c>
      <c r="AB197" s="1012"/>
      <c r="AC197" s="963" t="s">
        <v>10</v>
      </c>
      <c r="AD197" s="1012"/>
      <c r="AE197" s="963"/>
      <c r="AF197" s="963"/>
      <c r="AG197" s="52" t="s">
        <v>9</v>
      </c>
      <c r="AH197" s="1012"/>
      <c r="AI197" s="963" t="s">
        <v>10</v>
      </c>
      <c r="AJ197" s="1012"/>
      <c r="AK197" s="963"/>
      <c r="AL197" s="963"/>
      <c r="AM197" s="52" t="s">
        <v>9</v>
      </c>
      <c r="AN197" s="1012"/>
      <c r="AO197" s="963" t="s">
        <v>10</v>
      </c>
      <c r="AP197" s="1012"/>
      <c r="AQ197" s="963"/>
    </row>
    <row r="198" spans="1:43" s="7" customFormat="1" ht="32.1" customHeight="1" x14ac:dyDescent="0.25">
      <c r="A198" s="1835"/>
      <c r="B198" s="1836"/>
      <c r="C198" s="1836"/>
      <c r="D198" s="1836"/>
      <c r="E198" s="1836"/>
      <c r="F198" s="1836"/>
      <c r="G198" s="1836"/>
      <c r="H198" s="1837"/>
      <c r="I198" s="121" t="s">
        <v>1149</v>
      </c>
      <c r="J198" s="1012">
        <f>J72+J83+J86+J47</f>
        <v>268</v>
      </c>
      <c r="K198" s="963" t="s">
        <v>10</v>
      </c>
      <c r="L198" s="1012">
        <f>L72+L83+L86+L47</f>
        <v>2028.586</v>
      </c>
      <c r="M198" s="69"/>
      <c r="N198" s="963"/>
      <c r="O198" s="121" t="s">
        <v>32</v>
      </c>
      <c r="P198" s="1012">
        <f>P15+P24+P28+P34+P38+P66+P90+P93+P97+P162+P78</f>
        <v>655</v>
      </c>
      <c r="Q198" s="963" t="s">
        <v>10</v>
      </c>
      <c r="R198" s="1012">
        <f>R15+R24+R28+R34+R38+R66+R90+R93+R97+R162+R78</f>
        <v>5335.8689999999997</v>
      </c>
      <c r="S198" s="963"/>
      <c r="T198" s="963"/>
      <c r="U198" s="52" t="s">
        <v>32</v>
      </c>
      <c r="V198" s="54">
        <f>V141+V147</f>
        <v>186</v>
      </c>
      <c r="W198" s="963" t="s">
        <v>10</v>
      </c>
      <c r="X198" s="1012">
        <f>X141+X147</f>
        <v>1306.9580000000001</v>
      </c>
      <c r="Y198" s="963"/>
      <c r="Z198" s="963"/>
      <c r="AA198" s="52" t="s">
        <v>32</v>
      </c>
      <c r="AB198" s="1012"/>
      <c r="AC198" s="963" t="s">
        <v>10</v>
      </c>
      <c r="AD198" s="124"/>
      <c r="AE198" s="963"/>
      <c r="AF198" s="963"/>
      <c r="AG198" s="52" t="s">
        <v>32</v>
      </c>
      <c r="AH198" s="1012"/>
      <c r="AI198" s="963" t="s">
        <v>10</v>
      </c>
      <c r="AJ198" s="124"/>
      <c r="AK198" s="963"/>
      <c r="AL198" s="963"/>
      <c r="AM198" s="52" t="s">
        <v>32</v>
      </c>
      <c r="AN198" s="1012"/>
      <c r="AO198" s="963" t="s">
        <v>10</v>
      </c>
      <c r="AP198" s="124"/>
      <c r="AQ198" s="963"/>
    </row>
    <row r="199" spans="1:43" s="7" customFormat="1" ht="30.2" customHeight="1" x14ac:dyDescent="0.25">
      <c r="A199" s="1835"/>
      <c r="B199" s="1836"/>
      <c r="C199" s="1836"/>
      <c r="D199" s="1836"/>
      <c r="E199" s="1836"/>
      <c r="F199" s="1836"/>
      <c r="G199" s="1836"/>
      <c r="H199" s="1837"/>
      <c r="I199" s="121" t="s">
        <v>1129</v>
      </c>
      <c r="J199" s="1012"/>
      <c r="K199" s="963" t="s">
        <v>1132</v>
      </c>
      <c r="L199" s="124"/>
      <c r="M199" s="69"/>
      <c r="N199" s="963"/>
      <c r="O199" s="121" t="s">
        <v>1129</v>
      </c>
      <c r="P199" s="1012">
        <f>P29+P39+P163</f>
        <v>2127</v>
      </c>
      <c r="Q199" s="963" t="s">
        <v>1132</v>
      </c>
      <c r="R199" s="1012">
        <f>R29+R39+R163</f>
        <v>9540.6660000000011</v>
      </c>
      <c r="S199" s="963"/>
      <c r="T199" s="963"/>
      <c r="U199" s="52" t="s">
        <v>1129</v>
      </c>
      <c r="V199" s="1012">
        <f>V148</f>
        <v>300</v>
      </c>
      <c r="W199" s="963" t="s">
        <v>1132</v>
      </c>
      <c r="X199" s="1012">
        <f>X148</f>
        <v>945.64700000000005</v>
      </c>
      <c r="Y199" s="963"/>
      <c r="Z199" s="963"/>
      <c r="AA199" s="52" t="s">
        <v>1129</v>
      </c>
      <c r="AB199" s="1012"/>
      <c r="AC199" s="963" t="s">
        <v>1132</v>
      </c>
      <c r="AD199" s="124"/>
      <c r="AE199" s="963"/>
      <c r="AF199" s="963"/>
      <c r="AG199" s="52" t="s">
        <v>1129</v>
      </c>
      <c r="AH199" s="1012"/>
      <c r="AI199" s="963" t="s">
        <v>1132</v>
      </c>
      <c r="AJ199" s="124"/>
      <c r="AK199" s="963"/>
      <c r="AL199" s="963"/>
      <c r="AM199" s="52" t="s">
        <v>1129</v>
      </c>
      <c r="AN199" s="1012"/>
      <c r="AO199" s="963" t="s">
        <v>1132</v>
      </c>
      <c r="AP199" s="124"/>
      <c r="AQ199" s="963"/>
    </row>
    <row r="200" spans="1:43" s="7" customFormat="1" ht="19.899999999999999" customHeight="1" x14ac:dyDescent="0.25">
      <c r="A200" s="1835"/>
      <c r="B200" s="1836"/>
      <c r="C200" s="1836"/>
      <c r="D200" s="1836"/>
      <c r="E200" s="1836"/>
      <c r="F200" s="1836"/>
      <c r="G200" s="1836"/>
      <c r="H200" s="1837"/>
      <c r="I200" s="121" t="s">
        <v>11</v>
      </c>
      <c r="J200" s="1012"/>
      <c r="K200" s="963" t="s">
        <v>4</v>
      </c>
      <c r="L200" s="124"/>
      <c r="M200" s="69"/>
      <c r="N200" s="963"/>
      <c r="O200" s="121" t="s">
        <v>11</v>
      </c>
      <c r="P200" s="1012"/>
      <c r="Q200" s="963" t="s">
        <v>4</v>
      </c>
      <c r="R200" s="353"/>
      <c r="S200" s="963"/>
      <c r="T200" s="963"/>
      <c r="U200" s="52" t="s">
        <v>11</v>
      </c>
      <c r="V200" s="1012"/>
      <c r="W200" s="963" t="s">
        <v>4</v>
      </c>
      <c r="X200" s="124"/>
      <c r="Y200" s="963"/>
      <c r="Z200" s="963"/>
      <c r="AA200" s="52" t="s">
        <v>11</v>
      </c>
      <c r="AB200" s="1012"/>
      <c r="AC200" s="963" t="s">
        <v>4</v>
      </c>
      <c r="AD200" s="124"/>
      <c r="AE200" s="963"/>
      <c r="AF200" s="963"/>
      <c r="AG200" s="52" t="s">
        <v>11</v>
      </c>
      <c r="AH200" s="1012"/>
      <c r="AI200" s="963" t="s">
        <v>4</v>
      </c>
      <c r="AJ200" s="124"/>
      <c r="AK200" s="963"/>
      <c r="AL200" s="963"/>
      <c r="AM200" s="52" t="s">
        <v>11</v>
      </c>
      <c r="AN200" s="1012"/>
      <c r="AO200" s="963" t="s">
        <v>4</v>
      </c>
      <c r="AP200" s="124"/>
      <c r="AQ200" s="963"/>
    </row>
    <row r="201" spans="1:43" s="7" customFormat="1" ht="19.899999999999999" customHeight="1" x14ac:dyDescent="0.25">
      <c r="A201" s="1835"/>
      <c r="B201" s="1836"/>
      <c r="C201" s="1836"/>
      <c r="D201" s="1836"/>
      <c r="E201" s="1836"/>
      <c r="F201" s="1836"/>
      <c r="G201" s="1836"/>
      <c r="H201" s="1837"/>
      <c r="I201" s="121" t="s">
        <v>1130</v>
      </c>
      <c r="J201" s="1012"/>
      <c r="K201" s="963" t="s">
        <v>1132</v>
      </c>
      <c r="L201" s="124"/>
      <c r="M201" s="69"/>
      <c r="N201" s="963"/>
      <c r="O201" s="121" t="s">
        <v>1130</v>
      </c>
      <c r="P201" s="1012">
        <f>P31+P165</f>
        <v>860</v>
      </c>
      <c r="Q201" s="963" t="s">
        <v>1132</v>
      </c>
      <c r="R201" s="1012">
        <f>R31+R165</f>
        <v>1363.1669999999999</v>
      </c>
      <c r="S201" s="963"/>
      <c r="T201" s="963"/>
      <c r="U201" s="52" t="s">
        <v>1130</v>
      </c>
      <c r="V201" s="1012"/>
      <c r="W201" s="963" t="s">
        <v>1132</v>
      </c>
      <c r="X201" s="124"/>
      <c r="Y201" s="963"/>
      <c r="Z201" s="963"/>
      <c r="AA201" s="52" t="s">
        <v>1130</v>
      </c>
      <c r="AB201" s="1012"/>
      <c r="AC201" s="963" t="s">
        <v>1132</v>
      </c>
      <c r="AD201" s="124"/>
      <c r="AE201" s="963"/>
      <c r="AF201" s="963"/>
      <c r="AG201" s="52" t="s">
        <v>1130</v>
      </c>
      <c r="AH201" s="1012"/>
      <c r="AI201" s="963" t="s">
        <v>1132</v>
      </c>
      <c r="AJ201" s="124"/>
      <c r="AK201" s="963"/>
      <c r="AL201" s="963"/>
      <c r="AM201" s="52" t="s">
        <v>1130</v>
      </c>
      <c r="AN201" s="1012"/>
      <c r="AO201" s="963" t="s">
        <v>1132</v>
      </c>
      <c r="AP201" s="124"/>
      <c r="AQ201" s="963"/>
    </row>
    <row r="202" spans="1:43" s="7" customFormat="1" ht="31.15" customHeight="1" x14ac:dyDescent="0.25">
      <c r="A202" s="1835"/>
      <c r="B202" s="1836"/>
      <c r="C202" s="1836"/>
      <c r="D202" s="1836"/>
      <c r="E202" s="1836"/>
      <c r="F202" s="1836"/>
      <c r="G202" s="1836"/>
      <c r="H202" s="1837"/>
      <c r="I202" s="121" t="s">
        <v>33</v>
      </c>
      <c r="J202" s="1012"/>
      <c r="K202" s="963" t="s">
        <v>1132</v>
      </c>
      <c r="L202" s="124"/>
      <c r="M202" s="69"/>
      <c r="N202" s="963"/>
      <c r="O202" s="121" t="s">
        <v>33</v>
      </c>
      <c r="P202" s="1012"/>
      <c r="Q202" s="963" t="s">
        <v>1132</v>
      </c>
      <c r="R202" s="353"/>
      <c r="S202" s="963"/>
      <c r="T202" s="963"/>
      <c r="U202" s="52" t="s">
        <v>33</v>
      </c>
      <c r="V202" s="1012"/>
      <c r="W202" s="963" t="s">
        <v>1132</v>
      </c>
      <c r="X202" s="124"/>
      <c r="Y202" s="963"/>
      <c r="Z202" s="963"/>
      <c r="AA202" s="52" t="s">
        <v>33</v>
      </c>
      <c r="AB202" s="1012"/>
      <c r="AC202" s="963" t="s">
        <v>1132</v>
      </c>
      <c r="AD202" s="124"/>
      <c r="AE202" s="963"/>
      <c r="AF202" s="963"/>
      <c r="AG202" s="52" t="s">
        <v>33</v>
      </c>
      <c r="AH202" s="1012"/>
      <c r="AI202" s="963" t="s">
        <v>1132</v>
      </c>
      <c r="AJ202" s="124"/>
      <c r="AK202" s="963"/>
      <c r="AL202" s="963"/>
      <c r="AM202" s="52" t="s">
        <v>33</v>
      </c>
      <c r="AN202" s="1012"/>
      <c r="AO202" s="963" t="s">
        <v>1132</v>
      </c>
      <c r="AP202" s="124"/>
      <c r="AQ202" s="963"/>
    </row>
    <row r="203" spans="1:43" s="7" customFormat="1" ht="19.899999999999999" customHeight="1" x14ac:dyDescent="0.25">
      <c r="A203" s="1835"/>
      <c r="B203" s="1836"/>
      <c r="C203" s="1836"/>
      <c r="D203" s="1836"/>
      <c r="E203" s="1836"/>
      <c r="F203" s="1836"/>
      <c r="G203" s="1836"/>
      <c r="H203" s="1837"/>
      <c r="I203" s="121" t="s">
        <v>1073</v>
      </c>
      <c r="J203" s="1012"/>
      <c r="K203" s="963" t="s">
        <v>4</v>
      </c>
      <c r="L203" s="124"/>
      <c r="M203" s="69"/>
      <c r="N203" s="963"/>
      <c r="O203" s="121" t="s">
        <v>1073</v>
      </c>
      <c r="P203" s="1012"/>
      <c r="Q203" s="963" t="s">
        <v>4</v>
      </c>
      <c r="R203" s="353"/>
      <c r="S203" s="963"/>
      <c r="T203" s="963"/>
      <c r="U203" s="52" t="s">
        <v>1073</v>
      </c>
      <c r="V203" s="1012"/>
      <c r="W203" s="963" t="s">
        <v>4</v>
      </c>
      <c r="X203" s="124"/>
      <c r="Y203" s="963"/>
      <c r="Z203" s="963"/>
      <c r="AA203" s="52" t="s">
        <v>1073</v>
      </c>
      <c r="AB203" s="1012"/>
      <c r="AC203" s="963" t="s">
        <v>4</v>
      </c>
      <c r="AD203" s="124"/>
      <c r="AE203" s="963"/>
      <c r="AF203" s="963"/>
      <c r="AG203" s="52" t="s">
        <v>1073</v>
      </c>
      <c r="AH203" s="1012"/>
      <c r="AI203" s="963" t="s">
        <v>4</v>
      </c>
      <c r="AJ203" s="124"/>
      <c r="AK203" s="963"/>
      <c r="AL203" s="963"/>
      <c r="AM203" s="52" t="s">
        <v>1073</v>
      </c>
      <c r="AN203" s="1012"/>
      <c r="AO203" s="963" t="s">
        <v>4</v>
      </c>
      <c r="AP203" s="124"/>
      <c r="AQ203" s="963"/>
    </row>
    <row r="204" spans="1:43" s="7" customFormat="1" ht="32.85" customHeight="1" x14ac:dyDescent="0.25">
      <c r="A204" s="1835"/>
      <c r="B204" s="1836"/>
      <c r="C204" s="1836"/>
      <c r="D204" s="1836"/>
      <c r="E204" s="1836"/>
      <c r="F204" s="1836"/>
      <c r="G204" s="1836"/>
      <c r="H204" s="1837"/>
      <c r="I204" s="121" t="s">
        <v>1074</v>
      </c>
      <c r="J204" s="1012"/>
      <c r="K204" s="963" t="s">
        <v>4</v>
      </c>
      <c r="L204" s="124"/>
      <c r="M204" s="69"/>
      <c r="N204" s="963"/>
      <c r="O204" s="121" t="s">
        <v>1074</v>
      </c>
      <c r="P204" s="1012"/>
      <c r="Q204" s="963" t="s">
        <v>4</v>
      </c>
      <c r="R204" s="353"/>
      <c r="S204" s="963"/>
      <c r="T204" s="963"/>
      <c r="U204" s="52" t="s">
        <v>1074</v>
      </c>
      <c r="V204" s="1012"/>
      <c r="W204" s="963" t="s">
        <v>4</v>
      </c>
      <c r="X204" s="124"/>
      <c r="Y204" s="963"/>
      <c r="Z204" s="963"/>
      <c r="AA204" s="52" t="s">
        <v>1074</v>
      </c>
      <c r="AB204" s="1012"/>
      <c r="AC204" s="963" t="s">
        <v>4</v>
      </c>
      <c r="AD204" s="124"/>
      <c r="AE204" s="963"/>
      <c r="AF204" s="963"/>
      <c r="AG204" s="52" t="s">
        <v>1074</v>
      </c>
      <c r="AH204" s="1012"/>
      <c r="AI204" s="963" t="s">
        <v>4</v>
      </c>
      <c r="AJ204" s="124"/>
      <c r="AK204" s="963"/>
      <c r="AL204" s="963"/>
      <c r="AM204" s="52" t="s">
        <v>1074</v>
      </c>
      <c r="AN204" s="1012"/>
      <c r="AO204" s="963" t="s">
        <v>4</v>
      </c>
      <c r="AP204" s="124"/>
      <c r="AQ204" s="963"/>
    </row>
    <row r="205" spans="1:43" s="7" customFormat="1" ht="32.85" customHeight="1" x14ac:dyDescent="0.25">
      <c r="A205" s="1835"/>
      <c r="B205" s="1836"/>
      <c r="C205" s="1836"/>
      <c r="D205" s="1836"/>
      <c r="E205" s="1836"/>
      <c r="F205" s="1836"/>
      <c r="G205" s="1836"/>
      <c r="H205" s="1837"/>
      <c r="I205" s="121" t="s">
        <v>1075</v>
      </c>
      <c r="J205" s="1012"/>
      <c r="K205" s="963" t="s">
        <v>4</v>
      </c>
      <c r="L205" s="124"/>
      <c r="M205" s="69"/>
      <c r="N205" s="963"/>
      <c r="O205" s="121" t="s">
        <v>1075</v>
      </c>
      <c r="P205" s="1012"/>
      <c r="Q205" s="963" t="s">
        <v>4</v>
      </c>
      <c r="R205" s="353"/>
      <c r="S205" s="963"/>
      <c r="T205" s="963"/>
      <c r="U205" s="52" t="s">
        <v>1075</v>
      </c>
      <c r="V205" s="1012"/>
      <c r="W205" s="963" t="s">
        <v>4</v>
      </c>
      <c r="X205" s="124"/>
      <c r="Y205" s="963"/>
      <c r="Z205" s="963"/>
      <c r="AA205" s="52" t="s">
        <v>1075</v>
      </c>
      <c r="AB205" s="1012"/>
      <c r="AC205" s="963" t="s">
        <v>4</v>
      </c>
      <c r="AD205" s="124"/>
      <c r="AE205" s="963"/>
      <c r="AF205" s="963"/>
      <c r="AG205" s="52" t="s">
        <v>1075</v>
      </c>
      <c r="AH205" s="1012"/>
      <c r="AI205" s="963" t="s">
        <v>4</v>
      </c>
      <c r="AJ205" s="124"/>
      <c r="AK205" s="963"/>
      <c r="AL205" s="963"/>
      <c r="AM205" s="52" t="s">
        <v>1075</v>
      </c>
      <c r="AN205" s="1012"/>
      <c r="AO205" s="963" t="s">
        <v>4</v>
      </c>
      <c r="AP205" s="124"/>
      <c r="AQ205" s="963"/>
    </row>
    <row r="206" spans="1:43" s="7" customFormat="1" ht="29.65" customHeight="1" x14ac:dyDescent="0.25">
      <c r="A206" s="1835"/>
      <c r="B206" s="1836"/>
      <c r="C206" s="1836"/>
      <c r="D206" s="1836"/>
      <c r="E206" s="1836"/>
      <c r="F206" s="1836"/>
      <c r="G206" s="1836"/>
      <c r="H206" s="1837"/>
      <c r="I206" s="121" t="s">
        <v>1076</v>
      </c>
      <c r="J206" s="1012"/>
      <c r="K206" s="963" t="s">
        <v>10</v>
      </c>
      <c r="L206" s="124"/>
      <c r="M206" s="69"/>
      <c r="N206" s="963"/>
      <c r="O206" s="121" t="s">
        <v>1076</v>
      </c>
      <c r="P206" s="1012">
        <f>P30+P164+P79</f>
        <v>334</v>
      </c>
      <c r="Q206" s="963" t="s">
        <v>10</v>
      </c>
      <c r="R206" s="1012">
        <f>R30+R164+R79</f>
        <v>8233.4971999999998</v>
      </c>
      <c r="S206" s="963"/>
      <c r="T206" s="963"/>
      <c r="U206" s="52" t="s">
        <v>1076</v>
      </c>
      <c r="V206" s="1012"/>
      <c r="W206" s="963" t="s">
        <v>10</v>
      </c>
      <c r="X206" s="124"/>
      <c r="Y206" s="963"/>
      <c r="Z206" s="963"/>
      <c r="AA206" s="52" t="s">
        <v>1076</v>
      </c>
      <c r="AB206" s="1012"/>
      <c r="AC206" s="963" t="s">
        <v>10</v>
      </c>
      <c r="AD206" s="124"/>
      <c r="AE206" s="963"/>
      <c r="AF206" s="963"/>
      <c r="AG206" s="52" t="s">
        <v>1076</v>
      </c>
      <c r="AH206" s="1012"/>
      <c r="AI206" s="963" t="s">
        <v>10</v>
      </c>
      <c r="AJ206" s="124"/>
      <c r="AK206" s="963"/>
      <c r="AL206" s="963"/>
      <c r="AM206" s="52" t="s">
        <v>1076</v>
      </c>
      <c r="AN206" s="1012"/>
      <c r="AO206" s="963" t="s">
        <v>10</v>
      </c>
      <c r="AP206" s="124"/>
      <c r="AQ206" s="963"/>
    </row>
    <row r="207" spans="1:43" s="7" customFormat="1" ht="31.15" customHeight="1" x14ac:dyDescent="0.25">
      <c r="A207" s="1835"/>
      <c r="B207" s="1836"/>
      <c r="C207" s="1836"/>
      <c r="D207" s="1836"/>
      <c r="E207" s="1836"/>
      <c r="F207" s="1836"/>
      <c r="G207" s="1836"/>
      <c r="H207" s="1837"/>
      <c r="I207" s="121" t="s">
        <v>1131</v>
      </c>
      <c r="J207" s="1012"/>
      <c r="K207" s="963" t="s">
        <v>1132</v>
      </c>
      <c r="L207" s="124"/>
      <c r="M207" s="69"/>
      <c r="N207" s="963"/>
      <c r="O207" s="121" t="s">
        <v>1131</v>
      </c>
      <c r="P207" s="1012"/>
      <c r="Q207" s="963" t="s">
        <v>1132</v>
      </c>
      <c r="R207" s="542"/>
      <c r="S207" s="963"/>
      <c r="T207" s="963"/>
      <c r="U207" s="52" t="s">
        <v>1131</v>
      </c>
      <c r="V207" s="1012"/>
      <c r="W207" s="963" t="s">
        <v>1132</v>
      </c>
      <c r="X207" s="124"/>
      <c r="Y207" s="963"/>
      <c r="Z207" s="963"/>
      <c r="AA207" s="52" t="s">
        <v>1131</v>
      </c>
      <c r="AB207" s="1012"/>
      <c r="AC207" s="963" t="s">
        <v>1132</v>
      </c>
      <c r="AD207" s="124"/>
      <c r="AE207" s="963"/>
      <c r="AF207" s="963"/>
      <c r="AG207" s="52" t="s">
        <v>1131</v>
      </c>
      <c r="AH207" s="1012"/>
      <c r="AI207" s="963" t="s">
        <v>1132</v>
      </c>
      <c r="AJ207" s="124"/>
      <c r="AK207" s="963"/>
      <c r="AL207" s="963"/>
      <c r="AM207" s="52" t="s">
        <v>1131</v>
      </c>
      <c r="AN207" s="1012"/>
      <c r="AO207" s="963" t="s">
        <v>1132</v>
      </c>
      <c r="AP207" s="124"/>
      <c r="AQ207" s="963"/>
    </row>
    <row r="208" spans="1:43" s="7" customFormat="1" ht="81.599999999999994" customHeight="1" x14ac:dyDescent="0.25">
      <c r="A208" s="1838"/>
      <c r="B208" s="1839"/>
      <c r="C208" s="1839"/>
      <c r="D208" s="1839"/>
      <c r="E208" s="1839"/>
      <c r="F208" s="1839"/>
      <c r="G208" s="1839"/>
      <c r="H208" s="1840"/>
      <c r="I208" s="121" t="s">
        <v>1134</v>
      </c>
      <c r="J208" s="1012"/>
      <c r="K208" s="963" t="s">
        <v>1133</v>
      </c>
      <c r="L208" s="124"/>
      <c r="M208" s="69"/>
      <c r="N208" s="963"/>
      <c r="O208" s="121" t="s">
        <v>1134</v>
      </c>
      <c r="P208" s="1012"/>
      <c r="Q208" s="963" t="s">
        <v>1133</v>
      </c>
      <c r="R208" s="542"/>
      <c r="S208" s="963"/>
      <c r="T208" s="963"/>
      <c r="U208" s="52" t="s">
        <v>1134</v>
      </c>
      <c r="V208" s="1012"/>
      <c r="W208" s="963" t="s">
        <v>1133</v>
      </c>
      <c r="X208" s="124"/>
      <c r="Y208" s="963"/>
      <c r="Z208" s="963"/>
      <c r="AA208" s="52" t="s">
        <v>1134</v>
      </c>
      <c r="AB208" s="1012"/>
      <c r="AC208" s="963" t="s">
        <v>1133</v>
      </c>
      <c r="AD208" s="124"/>
      <c r="AE208" s="963"/>
      <c r="AF208" s="963"/>
      <c r="AG208" s="52" t="s">
        <v>1134</v>
      </c>
      <c r="AH208" s="1012"/>
      <c r="AI208" s="963" t="s">
        <v>1133</v>
      </c>
      <c r="AJ208" s="124"/>
      <c r="AK208" s="963"/>
      <c r="AL208" s="963"/>
      <c r="AM208" s="52" t="s">
        <v>1134</v>
      </c>
      <c r="AN208" s="1012"/>
      <c r="AO208" s="963" t="s">
        <v>1133</v>
      </c>
      <c r="AP208" s="124"/>
      <c r="AQ208" s="963"/>
    </row>
    <row r="209" spans="1:43" ht="28.35" customHeight="1" thickBot="1" x14ac:dyDescent="0.3">
      <c r="A209" s="354"/>
      <c r="B209" s="1466" t="s">
        <v>1185</v>
      </c>
      <c r="C209" s="1467"/>
      <c r="D209" s="1467"/>
      <c r="E209" s="1467"/>
      <c r="F209" s="1468"/>
      <c r="G209" s="333"/>
      <c r="H209" s="333"/>
      <c r="I209" s="134"/>
      <c r="J209" s="355"/>
      <c r="K209" s="333"/>
      <c r="L209" s="355"/>
      <c r="M209" s="333"/>
      <c r="N209" s="333"/>
      <c r="O209" s="134"/>
      <c r="P209" s="356"/>
      <c r="Q209" s="357"/>
      <c r="R209" s="543"/>
      <c r="S209" s="333"/>
      <c r="T209" s="333"/>
      <c r="U209" s="333"/>
      <c r="V209" s="332"/>
      <c r="W209" s="333"/>
      <c r="X209" s="3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</row>
    <row r="210" spans="1:43" ht="14.1" hidden="1" customHeight="1" x14ac:dyDescent="0.25">
      <c r="A210" s="11">
        <v>1</v>
      </c>
      <c r="B210" s="358">
        <v>1959925</v>
      </c>
      <c r="C210" s="989" t="s">
        <v>63</v>
      </c>
      <c r="D210" s="1038" t="s">
        <v>116</v>
      </c>
      <c r="E210" s="12">
        <f>28.601+1.995+58.335+14.895</f>
        <v>103.82599999999999</v>
      </c>
      <c r="F210" s="1034">
        <f>233866+13965+448897+188977</f>
        <v>885705</v>
      </c>
      <c r="G210" s="359"/>
      <c r="H210" s="359"/>
      <c r="I210" s="360"/>
      <c r="J210" s="1012"/>
      <c r="K210" s="893"/>
      <c r="L210" s="1012"/>
      <c r="M210" s="27"/>
      <c r="N210" s="27"/>
      <c r="O210" s="361"/>
      <c r="P210" s="362"/>
      <c r="Q210" s="27"/>
      <c r="R210" s="541"/>
      <c r="S210" s="363"/>
      <c r="T210" s="27"/>
      <c r="U210" s="27"/>
      <c r="V210" s="362"/>
      <c r="W210" s="27"/>
      <c r="X210" s="362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316"/>
      <c r="AQ210" s="8"/>
    </row>
    <row r="211" spans="1:43" ht="15.4" hidden="1" customHeight="1" x14ac:dyDescent="0.25">
      <c r="A211" s="11"/>
      <c r="B211" s="9"/>
      <c r="C211" s="989"/>
      <c r="D211" s="1038"/>
      <c r="E211" s="12"/>
      <c r="F211" s="1034"/>
      <c r="G211" s="359"/>
      <c r="H211" s="359"/>
      <c r="I211" s="360"/>
      <c r="J211" s="1012"/>
      <c r="K211" s="893"/>
      <c r="L211" s="1012"/>
      <c r="M211" s="1428" t="s">
        <v>1029</v>
      </c>
      <c r="N211" s="1428" t="s">
        <v>1030</v>
      </c>
      <c r="O211" s="1731" t="s">
        <v>30</v>
      </c>
      <c r="P211" s="364"/>
      <c r="Q211" s="365" t="s">
        <v>2</v>
      </c>
      <c r="R211" s="544"/>
      <c r="S211" s="52"/>
      <c r="T211" s="52"/>
      <c r="U211" s="52"/>
      <c r="V211" s="364"/>
      <c r="W211" s="365"/>
      <c r="X211" s="124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316"/>
      <c r="AQ211" s="8"/>
    </row>
    <row r="212" spans="1:43" ht="15.4" hidden="1" customHeight="1" x14ac:dyDescent="0.25">
      <c r="A212" s="11"/>
      <c r="B212" s="9"/>
      <c r="C212" s="989"/>
      <c r="D212" s="1038"/>
      <c r="E212" s="12"/>
      <c r="F212" s="1034"/>
      <c r="G212" s="359"/>
      <c r="H212" s="359"/>
      <c r="I212" s="360"/>
      <c r="J212" s="1012"/>
      <c r="K212" s="893"/>
      <c r="L212" s="1012"/>
      <c r="M212" s="1428"/>
      <c r="N212" s="1428"/>
      <c r="O212" s="1731"/>
      <c r="P212" s="364"/>
      <c r="Q212" s="365" t="s">
        <v>3</v>
      </c>
      <c r="R212" s="544"/>
      <c r="S212" s="52"/>
      <c r="T212" s="52"/>
      <c r="U212" s="52"/>
      <c r="V212" s="364"/>
      <c r="W212" s="365"/>
      <c r="X212" s="124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316"/>
      <c r="AQ212" s="8"/>
    </row>
    <row r="213" spans="1:43" ht="25.7" hidden="1" customHeight="1" x14ac:dyDescent="0.25">
      <c r="A213" s="11">
        <v>2</v>
      </c>
      <c r="B213" s="366">
        <v>1960072</v>
      </c>
      <c r="C213" s="989" t="s">
        <v>100</v>
      </c>
      <c r="D213" s="936" t="s">
        <v>118</v>
      </c>
      <c r="E213" s="12">
        <f>7.876+21.024</f>
        <v>28.900000000000002</v>
      </c>
      <c r="F213" s="1034">
        <f>88615+224852</f>
        <v>313467</v>
      </c>
      <c r="G213" s="359"/>
      <c r="H213" s="359"/>
      <c r="I213" s="360"/>
      <c r="J213" s="1012"/>
      <c r="K213" s="893"/>
      <c r="L213" s="1012"/>
      <c r="M213" s="27"/>
      <c r="N213" s="27"/>
      <c r="O213" s="361"/>
      <c r="P213" s="362"/>
      <c r="Q213" s="27"/>
      <c r="R213" s="540"/>
      <c r="S213" s="27"/>
      <c r="T213" s="27"/>
      <c r="U213" s="27"/>
      <c r="V213" s="362"/>
      <c r="W213" s="27"/>
      <c r="X213" s="362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316"/>
      <c r="AQ213" s="8"/>
    </row>
    <row r="214" spans="1:43" ht="28.9" hidden="1" customHeight="1" x14ac:dyDescent="0.25">
      <c r="A214" s="11">
        <f t="shared" ref="A214:A239" si="1">A213+1</f>
        <v>3</v>
      </c>
      <c r="B214" s="9"/>
      <c r="C214" s="989" t="s">
        <v>876</v>
      </c>
      <c r="D214" s="936" t="s">
        <v>119</v>
      </c>
      <c r="E214" s="1068">
        <f>17.173+29+24.311+4.51</f>
        <v>74.994000000000014</v>
      </c>
      <c r="F214" s="1039">
        <f>153293+217127+292373+30158</f>
        <v>692951</v>
      </c>
      <c r="G214" s="359"/>
      <c r="H214" s="359"/>
      <c r="I214" s="360"/>
      <c r="J214" s="1012"/>
      <c r="K214" s="893"/>
      <c r="L214" s="1012"/>
      <c r="M214" s="27"/>
      <c r="N214" s="27"/>
      <c r="O214" s="361"/>
      <c r="P214" s="362"/>
      <c r="Q214" s="27"/>
      <c r="R214" s="540"/>
      <c r="S214" s="27"/>
      <c r="T214" s="27"/>
      <c r="U214" s="27"/>
      <c r="V214" s="362"/>
      <c r="W214" s="27"/>
      <c r="X214" s="362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316"/>
      <c r="AQ214" s="8"/>
    </row>
    <row r="215" spans="1:43" ht="44.65" hidden="1" customHeight="1" x14ac:dyDescent="0.25">
      <c r="A215" s="156">
        <f t="shared" si="1"/>
        <v>4</v>
      </c>
      <c r="B215" s="1045"/>
      <c r="C215" s="1004" t="s">
        <v>877</v>
      </c>
      <c r="D215" s="998" t="s">
        <v>120</v>
      </c>
      <c r="E215" s="1040">
        <f>35.198+15.464</f>
        <v>50.661999999999999</v>
      </c>
      <c r="F215" s="1036">
        <f>411650+162402</f>
        <v>574052</v>
      </c>
      <c r="G215" s="367"/>
      <c r="H215" s="367"/>
      <c r="I215" s="368"/>
      <c r="J215" s="897"/>
      <c r="K215" s="1099"/>
      <c r="L215" s="897"/>
      <c r="M215" s="27"/>
      <c r="N215" s="27"/>
      <c r="O215" s="361"/>
      <c r="P215" s="362"/>
      <c r="Q215" s="27"/>
      <c r="R215" s="540"/>
      <c r="S215" s="27"/>
      <c r="T215" s="27"/>
      <c r="U215" s="27"/>
      <c r="V215" s="362"/>
      <c r="W215" s="27"/>
      <c r="X215" s="362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316"/>
      <c r="AQ215" s="8"/>
    </row>
    <row r="216" spans="1:43" ht="20.65" customHeight="1" x14ac:dyDescent="0.25">
      <c r="A216" s="1235">
        <v>1</v>
      </c>
      <c r="B216" s="1289">
        <v>1960280</v>
      </c>
      <c r="C216" s="1193" t="s">
        <v>62</v>
      </c>
      <c r="D216" s="1273" t="s">
        <v>38</v>
      </c>
      <c r="E216" s="1360">
        <f>36.749+9.547-36.749</f>
        <v>9.5470000000000041</v>
      </c>
      <c r="F216" s="1374">
        <f>490904+117371-490904</f>
        <v>117371</v>
      </c>
      <c r="G216" s="1386" t="s">
        <v>1047</v>
      </c>
      <c r="H216" s="1198" t="s">
        <v>1054</v>
      </c>
      <c r="I216" s="1190" t="s">
        <v>7</v>
      </c>
      <c r="J216" s="1041">
        <f>0.493+0.62</f>
        <v>1.113</v>
      </c>
      <c r="K216" s="162" t="s">
        <v>2</v>
      </c>
      <c r="L216" s="1307">
        <f>111192.049-102092.28793-L218-700.76187</f>
        <v>8353.0081999999929</v>
      </c>
      <c r="M216" s="178"/>
      <c r="N216" s="9"/>
      <c r="O216" s="65"/>
      <c r="P216" s="74"/>
      <c r="Q216" s="9"/>
      <c r="R216" s="1030"/>
      <c r="S216" s="9"/>
      <c r="T216" s="9"/>
      <c r="U216" s="9"/>
      <c r="V216" s="74"/>
      <c r="W216" s="9"/>
      <c r="X216" s="74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316"/>
      <c r="AQ216" s="1438" t="s">
        <v>1198</v>
      </c>
    </row>
    <row r="217" spans="1:43" ht="20.65" customHeight="1" x14ac:dyDescent="0.25">
      <c r="A217" s="1223"/>
      <c r="B217" s="1328"/>
      <c r="C217" s="1304"/>
      <c r="D217" s="1441"/>
      <c r="E217" s="1727"/>
      <c r="F217" s="1747"/>
      <c r="G217" s="1683"/>
      <c r="H217" s="1199"/>
      <c r="I217" s="1226"/>
      <c r="J217" s="1014">
        <f>94367/13.6*J216</f>
        <v>7722.8287499999997</v>
      </c>
      <c r="K217" s="21" t="s">
        <v>3</v>
      </c>
      <c r="L217" s="1308"/>
      <c r="M217" s="178"/>
      <c r="N217" s="9"/>
      <c r="O217" s="65"/>
      <c r="P217" s="74"/>
      <c r="Q217" s="9"/>
      <c r="R217" s="1030"/>
      <c r="S217" s="9"/>
      <c r="T217" s="9"/>
      <c r="U217" s="9"/>
      <c r="V217" s="74"/>
      <c r="W217" s="9"/>
      <c r="X217" s="74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316"/>
      <c r="AQ217" s="1439"/>
    </row>
    <row r="218" spans="1:43" ht="21.2" customHeight="1" thickBot="1" x14ac:dyDescent="0.3">
      <c r="A218" s="1224"/>
      <c r="B218" s="1234"/>
      <c r="C218" s="1194"/>
      <c r="D218" s="1274"/>
      <c r="E218" s="1361"/>
      <c r="F218" s="1375"/>
      <c r="G218" s="1387"/>
      <c r="H218" s="1200"/>
      <c r="I218" s="1113" t="s">
        <v>8</v>
      </c>
      <c r="J218" s="274">
        <f>2.503+0.555</f>
        <v>3.0580000000000003</v>
      </c>
      <c r="K218" s="158" t="s">
        <v>2</v>
      </c>
      <c r="L218" s="275">
        <v>45.991</v>
      </c>
      <c r="M218" s="178"/>
      <c r="N218" s="9"/>
      <c r="O218" s="65"/>
      <c r="P218" s="74"/>
      <c r="Q218" s="9"/>
      <c r="R218" s="1030"/>
      <c r="S218" s="9"/>
      <c r="T218" s="9"/>
      <c r="U218" s="9"/>
      <c r="V218" s="74"/>
      <c r="W218" s="9"/>
      <c r="X218" s="74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316"/>
      <c r="AQ218" s="1440"/>
    </row>
    <row r="219" spans="1:43" hidden="1" x14ac:dyDescent="0.25">
      <c r="A219" s="157">
        <f>A216+1</f>
        <v>2</v>
      </c>
      <c r="B219" s="1046"/>
      <c r="C219" s="996" t="s">
        <v>879</v>
      </c>
      <c r="D219" s="936" t="s">
        <v>123</v>
      </c>
      <c r="E219" s="12">
        <v>1.8149999999999999</v>
      </c>
      <c r="F219" s="905">
        <v>17139</v>
      </c>
      <c r="G219" s="369"/>
      <c r="H219" s="369"/>
      <c r="I219" s="360"/>
      <c r="J219" s="154"/>
      <c r="K219" s="1133"/>
      <c r="L219" s="896"/>
      <c r="M219" s="27"/>
      <c r="N219" s="27"/>
      <c r="O219" s="361"/>
      <c r="P219" s="362"/>
      <c r="Q219" s="27"/>
      <c r="R219" s="540"/>
      <c r="S219" s="27"/>
      <c r="T219" s="27"/>
      <c r="U219" s="27"/>
      <c r="V219" s="362"/>
      <c r="W219" s="27"/>
      <c r="X219" s="362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316"/>
      <c r="AQ219" s="8"/>
    </row>
    <row r="220" spans="1:43" ht="29.65" hidden="1" customHeight="1" x14ac:dyDescent="0.25">
      <c r="A220" s="60">
        <f t="shared" si="1"/>
        <v>3</v>
      </c>
      <c r="B220" s="9"/>
      <c r="C220" s="989" t="s">
        <v>102</v>
      </c>
      <c r="D220" s="936" t="s">
        <v>124</v>
      </c>
      <c r="E220" s="12">
        <v>8.81</v>
      </c>
      <c r="F220" s="1044">
        <v>65296</v>
      </c>
      <c r="G220" s="359"/>
      <c r="H220" s="359"/>
      <c r="I220" s="360"/>
      <c r="J220" s="525"/>
      <c r="K220" s="1133"/>
      <c r="L220" s="1012"/>
      <c r="M220" s="27"/>
      <c r="N220" s="27"/>
      <c r="O220" s="361"/>
      <c r="P220" s="362"/>
      <c r="Q220" s="27"/>
      <c r="R220" s="540"/>
      <c r="S220" s="27"/>
      <c r="T220" s="27"/>
      <c r="U220" s="27"/>
      <c r="V220" s="362"/>
      <c r="W220" s="27"/>
      <c r="X220" s="362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316"/>
      <c r="AQ220" s="8"/>
    </row>
    <row r="221" spans="1:43" hidden="1" x14ac:dyDescent="0.25">
      <c r="A221" s="159">
        <f t="shared" si="1"/>
        <v>4</v>
      </c>
      <c r="B221" s="1045"/>
      <c r="C221" s="1004" t="s">
        <v>97</v>
      </c>
      <c r="D221" s="998" t="s">
        <v>125</v>
      </c>
      <c r="E221" s="1016">
        <f>15.981+7.82</f>
        <v>23.801000000000002</v>
      </c>
      <c r="F221" s="904">
        <f>139068+59298</f>
        <v>198366</v>
      </c>
      <c r="G221" s="367"/>
      <c r="H221" s="367"/>
      <c r="I221" s="368"/>
      <c r="J221" s="160"/>
      <c r="K221" s="1132"/>
      <c r="L221" s="897"/>
      <c r="M221" s="1127"/>
      <c r="N221" s="1127"/>
      <c r="O221" s="370"/>
      <c r="P221" s="371"/>
      <c r="Q221" s="1127"/>
      <c r="R221" s="660"/>
      <c r="S221" s="27"/>
      <c r="T221" s="27"/>
      <c r="U221" s="27"/>
      <c r="V221" s="362"/>
      <c r="W221" s="27"/>
      <c r="X221" s="362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316"/>
      <c r="AQ221" s="8"/>
    </row>
    <row r="222" spans="1:43" ht="22.15" customHeight="1" x14ac:dyDescent="0.25">
      <c r="A222" s="1331">
        <v>2</v>
      </c>
      <c r="B222" s="1319">
        <v>1960003</v>
      </c>
      <c r="C222" s="1185" t="s">
        <v>103</v>
      </c>
      <c r="D222" s="1315" t="s">
        <v>42</v>
      </c>
      <c r="E222" s="1742">
        <v>45.325000000000003</v>
      </c>
      <c r="F222" s="1486">
        <v>704925</v>
      </c>
      <c r="G222" s="1389" t="s">
        <v>1061</v>
      </c>
      <c r="H222" s="1389" t="s">
        <v>1063</v>
      </c>
      <c r="I222" s="1240" t="s">
        <v>30</v>
      </c>
      <c r="J222" s="161"/>
      <c r="K222" s="162" t="s">
        <v>2</v>
      </c>
      <c r="L222" s="1413">
        <v>2644.14</v>
      </c>
      <c r="M222" s="1389" t="s">
        <v>1061</v>
      </c>
      <c r="N222" s="1389" t="s">
        <v>1063</v>
      </c>
      <c r="O222" s="1240" t="s">
        <v>30</v>
      </c>
      <c r="P222" s="330">
        <v>0.43099999999999999</v>
      </c>
      <c r="Q222" s="162" t="s">
        <v>2</v>
      </c>
      <c r="R222" s="1459">
        <f>52452.97155-R224-R225-R226-R227-R228-R229</f>
        <v>45559.892550000011</v>
      </c>
      <c r="S222" s="178"/>
      <c r="T222" s="9"/>
      <c r="U222" s="9"/>
      <c r="V222" s="74"/>
      <c r="W222" s="9"/>
      <c r="X222" s="74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316"/>
      <c r="AQ222" s="1438" t="s">
        <v>1199</v>
      </c>
    </row>
    <row r="223" spans="1:43" ht="20.65" customHeight="1" x14ac:dyDescent="0.25">
      <c r="A223" s="1332"/>
      <c r="B223" s="1320"/>
      <c r="C223" s="1186"/>
      <c r="D223" s="1316"/>
      <c r="E223" s="1609"/>
      <c r="F223" s="1222"/>
      <c r="G223" s="1390"/>
      <c r="H223" s="1390"/>
      <c r="I223" s="1218"/>
      <c r="J223" s="468"/>
      <c r="K223" s="318" t="s">
        <v>3</v>
      </c>
      <c r="L223" s="1414"/>
      <c r="M223" s="1390"/>
      <c r="N223" s="1390"/>
      <c r="O223" s="1218"/>
      <c r="P223" s="145">
        <v>5714.66</v>
      </c>
      <c r="Q223" s="318" t="s">
        <v>3</v>
      </c>
      <c r="R223" s="1460"/>
      <c r="S223" s="178"/>
      <c r="T223" s="9"/>
      <c r="U223" s="9"/>
      <c r="V223" s="74"/>
      <c r="W223" s="9"/>
      <c r="X223" s="74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316"/>
      <c r="AQ223" s="1440"/>
    </row>
    <row r="224" spans="1:43" ht="22.15" customHeight="1" x14ac:dyDescent="0.25">
      <c r="A224" s="1332"/>
      <c r="B224" s="1320"/>
      <c r="C224" s="1186"/>
      <c r="D224" s="1316"/>
      <c r="E224" s="1609"/>
      <c r="F224" s="1222"/>
      <c r="G224" s="1390"/>
      <c r="H224" s="1390"/>
      <c r="I224" s="1053" t="s">
        <v>8</v>
      </c>
      <c r="J224" s="468"/>
      <c r="K224" s="42" t="s">
        <v>2</v>
      </c>
      <c r="L224" s="1014">
        <v>0</v>
      </c>
      <c r="M224" s="1390"/>
      <c r="N224" s="1390"/>
      <c r="O224" s="1053" t="s">
        <v>8</v>
      </c>
      <c r="P224" s="84">
        <v>1.6853</v>
      </c>
      <c r="Q224" s="42" t="s">
        <v>2</v>
      </c>
      <c r="R224" s="1013">
        <v>383.92700000000002</v>
      </c>
      <c r="S224" s="178"/>
      <c r="T224" s="9"/>
      <c r="U224" s="9"/>
      <c r="V224" s="74"/>
      <c r="W224" s="9"/>
      <c r="X224" s="74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316"/>
      <c r="AQ224" s="1054"/>
    </row>
    <row r="225" spans="1:43" ht="36" customHeight="1" x14ac:dyDescent="0.25">
      <c r="A225" s="1332"/>
      <c r="B225" s="1320"/>
      <c r="C225" s="1186"/>
      <c r="D225" s="1316"/>
      <c r="E225" s="1609"/>
      <c r="F225" s="1222"/>
      <c r="G225" s="1390"/>
      <c r="H225" s="1390"/>
      <c r="I225" s="1053" t="s">
        <v>32</v>
      </c>
      <c r="J225" s="468"/>
      <c r="K225" s="42" t="s">
        <v>10</v>
      </c>
      <c r="L225" s="1014">
        <v>0</v>
      </c>
      <c r="M225" s="1390"/>
      <c r="N225" s="1390"/>
      <c r="O225" s="877" t="s">
        <v>32</v>
      </c>
      <c r="P225" s="145">
        <v>32</v>
      </c>
      <c r="Q225" s="42" t="s">
        <v>10</v>
      </c>
      <c r="R225" s="1013">
        <v>573.48199999999997</v>
      </c>
      <c r="S225" s="178"/>
      <c r="T225" s="9"/>
      <c r="U225" s="9"/>
      <c r="V225" s="74"/>
      <c r="W225" s="9"/>
      <c r="X225" s="74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316"/>
      <c r="AQ225" s="1054"/>
    </row>
    <row r="226" spans="1:43" ht="33.4" customHeight="1" x14ac:dyDescent="0.25">
      <c r="A226" s="1332"/>
      <c r="B226" s="1320"/>
      <c r="C226" s="1186"/>
      <c r="D226" s="1316"/>
      <c r="E226" s="1609"/>
      <c r="F226" s="1222"/>
      <c r="G226" s="1390"/>
      <c r="H226" s="1390"/>
      <c r="I226" s="877" t="s">
        <v>1219</v>
      </c>
      <c r="J226" s="1050"/>
      <c r="K226" s="882" t="s">
        <v>1080</v>
      </c>
      <c r="L226" s="1014">
        <v>0</v>
      </c>
      <c r="M226" s="1390"/>
      <c r="N226" s="1390"/>
      <c r="O226" s="877" t="s">
        <v>1219</v>
      </c>
      <c r="P226" s="1050">
        <v>648</v>
      </c>
      <c r="Q226" s="882" t="s">
        <v>1080</v>
      </c>
      <c r="R226" s="1013">
        <v>2460.4690000000001</v>
      </c>
      <c r="S226" s="178"/>
      <c r="T226" s="9"/>
      <c r="U226" s="9"/>
      <c r="V226" s="74"/>
      <c r="W226" s="9"/>
      <c r="X226" s="74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316"/>
      <c r="AQ226" s="1054"/>
    </row>
    <row r="227" spans="1:43" ht="36.6" customHeight="1" x14ac:dyDescent="0.25">
      <c r="A227" s="1332"/>
      <c r="B227" s="1320"/>
      <c r="C227" s="1186"/>
      <c r="D227" s="1316"/>
      <c r="E227" s="1609"/>
      <c r="F227" s="1222"/>
      <c r="G227" s="1390"/>
      <c r="H227" s="1390"/>
      <c r="I227" s="877" t="s">
        <v>1220</v>
      </c>
      <c r="J227" s="1050"/>
      <c r="K227" s="42" t="s">
        <v>10</v>
      </c>
      <c r="L227" s="1014">
        <v>0</v>
      </c>
      <c r="M227" s="1390"/>
      <c r="N227" s="1390"/>
      <c r="O227" s="877" t="s">
        <v>1220</v>
      </c>
      <c r="P227" s="1050">
        <v>218</v>
      </c>
      <c r="Q227" s="42" t="s">
        <v>10</v>
      </c>
      <c r="R227" s="1013">
        <v>2198.375</v>
      </c>
      <c r="S227" s="178"/>
      <c r="T227" s="9"/>
      <c r="U227" s="9"/>
      <c r="V227" s="74"/>
      <c r="W227" s="9"/>
      <c r="X227" s="74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316"/>
      <c r="AQ227" s="1054"/>
    </row>
    <row r="228" spans="1:43" ht="33.4" customHeight="1" x14ac:dyDescent="0.25">
      <c r="A228" s="1332"/>
      <c r="B228" s="1320"/>
      <c r="C228" s="1186"/>
      <c r="D228" s="1316"/>
      <c r="E228" s="1609"/>
      <c r="F228" s="1222"/>
      <c r="G228" s="1390"/>
      <c r="H228" s="1390"/>
      <c r="I228" s="882" t="s">
        <v>9</v>
      </c>
      <c r="J228" s="145"/>
      <c r="K228" s="42" t="s">
        <v>10</v>
      </c>
      <c r="L228" s="1014">
        <v>0</v>
      </c>
      <c r="M228" s="1390"/>
      <c r="N228" s="1390"/>
      <c r="O228" s="882" t="s">
        <v>9</v>
      </c>
      <c r="P228" s="145">
        <f>12/2</f>
        <v>6</v>
      </c>
      <c r="Q228" s="42" t="s">
        <v>10</v>
      </c>
      <c r="R228" s="1013">
        <v>197.376</v>
      </c>
      <c r="S228" s="178"/>
      <c r="T228" s="9"/>
      <c r="U228" s="9"/>
      <c r="V228" s="74"/>
      <c r="W228" s="9"/>
      <c r="X228" s="74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316"/>
      <c r="AQ228" s="1054"/>
    </row>
    <row r="229" spans="1:43" ht="28.35" customHeight="1" thickBot="1" x14ac:dyDescent="0.3">
      <c r="A229" s="1333"/>
      <c r="B229" s="1321"/>
      <c r="C229" s="1318"/>
      <c r="D229" s="1317"/>
      <c r="E229" s="1743"/>
      <c r="F229" s="1487"/>
      <c r="G229" s="1391"/>
      <c r="H229" s="1391"/>
      <c r="I229" s="889" t="s">
        <v>1130</v>
      </c>
      <c r="J229" s="170"/>
      <c r="K229" s="889" t="s">
        <v>1080</v>
      </c>
      <c r="L229" s="163">
        <v>0</v>
      </c>
      <c r="M229" s="1391"/>
      <c r="N229" s="1391"/>
      <c r="O229" s="889" t="s">
        <v>1130</v>
      </c>
      <c r="P229" s="170">
        <v>711</v>
      </c>
      <c r="Q229" s="889" t="s">
        <v>1080</v>
      </c>
      <c r="R229" s="1017">
        <v>1079.45</v>
      </c>
      <c r="S229" s="178"/>
      <c r="T229" s="9"/>
      <c r="U229" s="9"/>
      <c r="V229" s="74"/>
      <c r="W229" s="9"/>
      <c r="X229" s="74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316"/>
      <c r="AQ229" s="1054"/>
    </row>
    <row r="230" spans="1:43" ht="30.2" hidden="1" customHeight="1" x14ac:dyDescent="0.25">
      <c r="A230" s="157">
        <f>A222+1</f>
        <v>3</v>
      </c>
      <c r="B230" s="1046"/>
      <c r="C230" s="996" t="s">
        <v>104</v>
      </c>
      <c r="D230" s="936" t="s">
        <v>126</v>
      </c>
      <c r="E230" s="12">
        <v>22.57</v>
      </c>
      <c r="F230" s="905">
        <v>158754</v>
      </c>
      <c r="G230" s="369"/>
      <c r="H230" s="369"/>
      <c r="I230" s="360"/>
      <c r="J230" s="154"/>
      <c r="K230" s="1133"/>
      <c r="L230" s="896"/>
      <c r="M230" s="1128"/>
      <c r="N230" s="1128"/>
      <c r="O230" s="372"/>
      <c r="P230" s="373"/>
      <c r="Q230" s="1128"/>
      <c r="R230" s="545"/>
      <c r="S230" s="363"/>
      <c r="T230" s="27"/>
      <c r="U230" s="27"/>
      <c r="V230" s="362"/>
      <c r="W230" s="27"/>
      <c r="X230" s="362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316"/>
      <c r="AQ230" s="8"/>
    </row>
    <row r="231" spans="1:43" hidden="1" x14ac:dyDescent="0.25">
      <c r="A231" s="60">
        <f t="shared" si="1"/>
        <v>4</v>
      </c>
      <c r="B231" s="9"/>
      <c r="C231" s="989" t="s">
        <v>105</v>
      </c>
      <c r="D231" s="936" t="s">
        <v>127</v>
      </c>
      <c r="E231" s="12">
        <f>13.38+16.91</f>
        <v>30.29</v>
      </c>
      <c r="F231" s="1044">
        <f>99938+127482</f>
        <v>227420</v>
      </c>
      <c r="G231" s="359"/>
      <c r="H231" s="359"/>
      <c r="I231" s="360"/>
      <c r="J231" s="525"/>
      <c r="K231" s="1133"/>
      <c r="L231" s="1012"/>
      <c r="M231" s="27"/>
      <c r="N231" s="27"/>
      <c r="O231" s="361"/>
      <c r="P231" s="362"/>
      <c r="Q231" s="27"/>
      <c r="R231" s="546"/>
      <c r="S231" s="363"/>
      <c r="T231" s="27"/>
      <c r="U231" s="27"/>
      <c r="V231" s="362"/>
      <c r="W231" s="27"/>
      <c r="X231" s="362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316"/>
      <c r="AQ231" s="8"/>
    </row>
    <row r="232" spans="1:43" ht="28.35" hidden="1" customHeight="1" x14ac:dyDescent="0.25">
      <c r="A232" s="60">
        <f t="shared" si="1"/>
        <v>5</v>
      </c>
      <c r="B232" s="9"/>
      <c r="C232" s="989" t="s">
        <v>106</v>
      </c>
      <c r="D232" s="936" t="s">
        <v>128</v>
      </c>
      <c r="E232" s="12">
        <f>19.956+11.6</f>
        <v>31.555999999999997</v>
      </c>
      <c r="F232" s="1044">
        <f>145347+115161</f>
        <v>260508</v>
      </c>
      <c r="G232" s="359"/>
      <c r="H232" s="359"/>
      <c r="I232" s="360"/>
      <c r="J232" s="525"/>
      <c r="K232" s="1133"/>
      <c r="L232" s="1012"/>
      <c r="M232" s="27"/>
      <c r="N232" s="27"/>
      <c r="O232" s="361"/>
      <c r="P232" s="362"/>
      <c r="Q232" s="27"/>
      <c r="R232" s="546"/>
      <c r="S232" s="363"/>
      <c r="T232" s="27"/>
      <c r="U232" s="27"/>
      <c r="V232" s="362"/>
      <c r="W232" s="27"/>
      <c r="X232" s="362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316"/>
      <c r="AQ232" s="8"/>
    </row>
    <row r="233" spans="1:43" ht="14.1" hidden="1" customHeight="1" x14ac:dyDescent="0.25">
      <c r="A233" s="60">
        <f t="shared" si="1"/>
        <v>6</v>
      </c>
      <c r="B233" s="9"/>
      <c r="C233" s="989" t="s">
        <v>107</v>
      </c>
      <c r="D233" s="936" t="s">
        <v>129</v>
      </c>
      <c r="E233" s="12">
        <f>23.804+44.162+23.86</f>
        <v>91.825999999999993</v>
      </c>
      <c r="F233" s="1044">
        <f>173792+322693+172196</f>
        <v>668681</v>
      </c>
      <c r="G233" s="359"/>
      <c r="H233" s="359"/>
      <c r="I233" s="360"/>
      <c r="J233" s="525"/>
      <c r="K233" s="1133"/>
      <c r="L233" s="1012"/>
      <c r="M233" s="27"/>
      <c r="N233" s="27"/>
      <c r="O233" s="361"/>
      <c r="P233" s="362"/>
      <c r="Q233" s="27"/>
      <c r="R233" s="546"/>
      <c r="S233" s="363"/>
      <c r="T233" s="27"/>
      <c r="U233" s="27"/>
      <c r="V233" s="362"/>
      <c r="W233" s="27"/>
      <c r="X233" s="362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316"/>
      <c r="AQ233" s="8"/>
    </row>
    <row r="234" spans="1:43" hidden="1" x14ac:dyDescent="0.25">
      <c r="A234" s="60">
        <f t="shared" si="1"/>
        <v>7</v>
      </c>
      <c r="B234" s="9"/>
      <c r="C234" s="989" t="s">
        <v>108</v>
      </c>
      <c r="D234" s="936" t="s">
        <v>130</v>
      </c>
      <c r="E234" s="12">
        <f>13.02+31.72</f>
        <v>44.739999999999995</v>
      </c>
      <c r="F234" s="1044">
        <f>85611+222739</f>
        <v>308350</v>
      </c>
      <c r="G234" s="359"/>
      <c r="H234" s="359"/>
      <c r="I234" s="360"/>
      <c r="J234" s="525"/>
      <c r="K234" s="1133"/>
      <c r="L234" s="1012"/>
      <c r="M234" s="27"/>
      <c r="N234" s="27"/>
      <c r="O234" s="361"/>
      <c r="P234" s="362"/>
      <c r="Q234" s="27"/>
      <c r="R234" s="546"/>
      <c r="S234" s="363"/>
      <c r="T234" s="27"/>
      <c r="U234" s="27"/>
      <c r="V234" s="362"/>
      <c r="W234" s="27"/>
      <c r="X234" s="362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316"/>
      <c r="AQ234" s="8"/>
    </row>
    <row r="235" spans="1:43" ht="31.15" hidden="1" customHeight="1" x14ac:dyDescent="0.25">
      <c r="A235" s="60">
        <v>6</v>
      </c>
      <c r="B235" s="887">
        <v>1960208</v>
      </c>
      <c r="C235" s="989" t="s">
        <v>109</v>
      </c>
      <c r="D235" s="936" t="s">
        <v>131</v>
      </c>
      <c r="E235" s="12">
        <v>34.445</v>
      </c>
      <c r="F235" s="1044">
        <v>240110</v>
      </c>
      <c r="G235" s="359"/>
      <c r="H235" s="359"/>
      <c r="I235" s="360"/>
      <c r="J235" s="525"/>
      <c r="K235" s="1133"/>
      <c r="L235" s="1012"/>
      <c r="M235" s="52"/>
      <c r="N235" s="52"/>
      <c r="O235" s="121"/>
      <c r="P235" s="364"/>
      <c r="Q235" s="365"/>
      <c r="R235" s="547"/>
      <c r="S235" s="52"/>
      <c r="T235" s="52"/>
      <c r="U235" s="52"/>
      <c r="V235" s="364"/>
      <c r="W235" s="365"/>
      <c r="X235" s="124"/>
      <c r="Y235" s="64"/>
      <c r="Z235" s="64"/>
      <c r="AA235" s="64"/>
      <c r="AB235" s="374"/>
      <c r="AC235" s="318"/>
      <c r="AD235" s="142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316"/>
      <c r="AQ235" s="8"/>
    </row>
    <row r="236" spans="1:43" ht="16.149999999999999" hidden="1" customHeight="1" x14ac:dyDescent="0.25">
      <c r="A236" s="60"/>
      <c r="B236" s="9"/>
      <c r="C236" s="989"/>
      <c r="D236" s="936"/>
      <c r="E236" s="12"/>
      <c r="F236" s="1044"/>
      <c r="G236" s="359"/>
      <c r="H236" s="359"/>
      <c r="I236" s="360"/>
      <c r="J236" s="525"/>
      <c r="K236" s="1133"/>
      <c r="L236" s="1012"/>
      <c r="M236" s="52"/>
      <c r="N236" s="52"/>
      <c r="O236" s="121"/>
      <c r="P236" s="364"/>
      <c r="Q236" s="365"/>
      <c r="R236" s="547"/>
      <c r="S236" s="52"/>
      <c r="T236" s="52"/>
      <c r="U236" s="52"/>
      <c r="V236" s="364"/>
      <c r="W236" s="365"/>
      <c r="X236" s="124"/>
      <c r="Y236" s="64"/>
      <c r="Z236" s="64"/>
      <c r="AA236" s="64"/>
      <c r="AB236" s="375"/>
      <c r="AC236" s="318"/>
      <c r="AD236" s="142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316"/>
      <c r="AQ236" s="8"/>
    </row>
    <row r="237" spans="1:43" hidden="1" x14ac:dyDescent="0.25">
      <c r="A237" s="60">
        <f>A235+1</f>
        <v>7</v>
      </c>
      <c r="B237" s="9"/>
      <c r="C237" s="989" t="s">
        <v>110</v>
      </c>
      <c r="D237" s="936" t="s">
        <v>132</v>
      </c>
      <c r="E237" s="12">
        <v>30.65</v>
      </c>
      <c r="F237" s="1044">
        <v>297779</v>
      </c>
      <c r="G237" s="359"/>
      <c r="H237" s="359"/>
      <c r="I237" s="360"/>
      <c r="J237" s="525"/>
      <c r="K237" s="1133"/>
      <c r="L237" s="1012"/>
      <c r="M237" s="27"/>
      <c r="N237" s="27"/>
      <c r="O237" s="361"/>
      <c r="P237" s="362"/>
      <c r="Q237" s="27"/>
      <c r="R237" s="546"/>
      <c r="S237" s="363"/>
      <c r="T237" s="27"/>
      <c r="U237" s="27"/>
      <c r="V237" s="362"/>
      <c r="W237" s="27"/>
      <c r="X237" s="362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316"/>
      <c r="AQ237" s="8"/>
    </row>
    <row r="238" spans="1:43" ht="27.6" hidden="1" customHeight="1" x14ac:dyDescent="0.25">
      <c r="A238" s="60">
        <f t="shared" si="1"/>
        <v>8</v>
      </c>
      <c r="B238" s="9"/>
      <c r="C238" s="989" t="s">
        <v>111</v>
      </c>
      <c r="D238" s="936" t="s">
        <v>133</v>
      </c>
      <c r="E238" s="12">
        <f>17.74+29.1</f>
        <v>46.84</v>
      </c>
      <c r="F238" s="1044">
        <f>135669+194066</f>
        <v>329735</v>
      </c>
      <c r="G238" s="359"/>
      <c r="H238" s="359"/>
      <c r="I238" s="360"/>
      <c r="J238" s="525"/>
      <c r="K238" s="1133"/>
      <c r="L238" s="1012"/>
      <c r="M238" s="27"/>
      <c r="N238" s="27"/>
      <c r="O238" s="361"/>
      <c r="P238" s="362"/>
      <c r="Q238" s="27"/>
      <c r="R238" s="546"/>
      <c r="S238" s="363"/>
      <c r="T238" s="27"/>
      <c r="U238" s="27"/>
      <c r="V238" s="362"/>
      <c r="W238" s="27"/>
      <c r="X238" s="362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316"/>
      <c r="AQ238" s="8"/>
    </row>
    <row r="239" spans="1:43" hidden="1" x14ac:dyDescent="0.25">
      <c r="A239" s="753">
        <f t="shared" si="1"/>
        <v>9</v>
      </c>
      <c r="B239" s="754"/>
      <c r="C239" s="1070" t="s">
        <v>112</v>
      </c>
      <c r="D239" s="878" t="s">
        <v>134</v>
      </c>
      <c r="E239" s="906">
        <v>20.45</v>
      </c>
      <c r="F239" s="755">
        <v>146587</v>
      </c>
      <c r="G239" s="756"/>
      <c r="H239" s="756"/>
      <c r="I239" s="757"/>
      <c r="J239" s="758"/>
      <c r="K239" s="759"/>
      <c r="L239" s="760"/>
      <c r="M239" s="761"/>
      <c r="N239" s="761"/>
      <c r="O239" s="762"/>
      <c r="P239" s="763"/>
      <c r="Q239" s="761"/>
      <c r="R239" s="764"/>
      <c r="S239" s="458"/>
      <c r="T239" s="761"/>
      <c r="U239" s="761"/>
      <c r="V239" s="763"/>
      <c r="W239" s="761"/>
      <c r="X239" s="763"/>
      <c r="Y239" s="765"/>
      <c r="Z239" s="765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316"/>
      <c r="AQ239" s="8"/>
    </row>
    <row r="240" spans="1:43" ht="24" customHeight="1" x14ac:dyDescent="0.25">
      <c r="A240" s="1227">
        <v>3</v>
      </c>
      <c r="B240" s="1232">
        <v>1960075</v>
      </c>
      <c r="C240" s="1340" t="s">
        <v>875</v>
      </c>
      <c r="D240" s="1473" t="s">
        <v>135</v>
      </c>
      <c r="E240" s="1472">
        <f>22.307+14.04</f>
        <v>36.346999999999994</v>
      </c>
      <c r="F240" s="1792">
        <v>394263</v>
      </c>
      <c r="G240" s="982"/>
      <c r="H240" s="982"/>
      <c r="I240" s="1052"/>
      <c r="J240" s="1056"/>
      <c r="K240" s="817"/>
      <c r="L240" s="526"/>
      <c r="M240" s="328"/>
      <c r="N240" s="328"/>
      <c r="O240" s="215"/>
      <c r="P240" s="329"/>
      <c r="Q240" s="328"/>
      <c r="R240" s="819"/>
      <c r="S240" s="1918" t="s">
        <v>1265</v>
      </c>
      <c r="T240" s="1232" t="s">
        <v>1266</v>
      </c>
      <c r="U240" s="1207" t="s">
        <v>7</v>
      </c>
      <c r="V240" s="167">
        <v>1.8069999999999999</v>
      </c>
      <c r="W240" s="964" t="s">
        <v>2</v>
      </c>
      <c r="X240" s="1914">
        <v>25117.3</v>
      </c>
      <c r="Y240" s="178"/>
      <c r="Z240" s="9"/>
      <c r="AA240" s="314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316"/>
      <c r="AQ240" s="8"/>
    </row>
    <row r="241" spans="1:43" ht="24" customHeight="1" thickBot="1" x14ac:dyDescent="0.3">
      <c r="A241" s="1224"/>
      <c r="B241" s="1234"/>
      <c r="C241" s="1194"/>
      <c r="D241" s="1274"/>
      <c r="E241" s="1361"/>
      <c r="F241" s="1375"/>
      <c r="G241" s="984"/>
      <c r="H241" s="984"/>
      <c r="I241" s="1102"/>
      <c r="J241" s="163"/>
      <c r="K241" s="1058"/>
      <c r="L241" s="174"/>
      <c r="M241" s="331"/>
      <c r="N241" s="331"/>
      <c r="O241" s="220"/>
      <c r="P241" s="818"/>
      <c r="Q241" s="331"/>
      <c r="R241" s="820"/>
      <c r="S241" s="1919"/>
      <c r="T241" s="1234"/>
      <c r="U241" s="1469"/>
      <c r="V241" s="174">
        <v>14227.44</v>
      </c>
      <c r="W241" s="965" t="s">
        <v>3</v>
      </c>
      <c r="X241" s="1915"/>
      <c r="Y241" s="178"/>
      <c r="Z241" s="9"/>
      <c r="AA241" s="314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316"/>
      <c r="AQ241" s="8"/>
    </row>
    <row r="242" spans="1:43" ht="25.5" hidden="1" customHeight="1" x14ac:dyDescent="0.25">
      <c r="A242" s="766">
        <f>A240+1</f>
        <v>4</v>
      </c>
      <c r="B242" s="1046"/>
      <c r="C242" s="996" t="s">
        <v>113</v>
      </c>
      <c r="D242" s="936" t="s">
        <v>136</v>
      </c>
      <c r="E242" s="12">
        <v>16.774000000000001</v>
      </c>
      <c r="F242" s="905">
        <v>153495</v>
      </c>
      <c r="G242" s="369"/>
      <c r="H242" s="369"/>
      <c r="I242" s="360"/>
      <c r="J242" s="154"/>
      <c r="K242" s="1133"/>
      <c r="L242" s="896"/>
      <c r="M242" s="1128"/>
      <c r="N242" s="1128"/>
      <c r="O242" s="372"/>
      <c r="P242" s="373"/>
      <c r="Q242" s="1128"/>
      <c r="R242" s="767"/>
      <c r="S242" s="1128"/>
      <c r="T242" s="1128"/>
      <c r="U242" s="1128"/>
      <c r="V242" s="373"/>
      <c r="W242" s="1128"/>
      <c r="X242" s="373"/>
      <c r="Y242" s="319"/>
      <c r="Z242" s="319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316"/>
      <c r="AQ242" s="8"/>
    </row>
    <row r="243" spans="1:43" ht="29.25" hidden="1" customHeight="1" x14ac:dyDescent="0.25">
      <c r="A243" s="1987">
        <v>4</v>
      </c>
      <c r="B243" s="1491"/>
      <c r="C243" s="1490" t="s">
        <v>89</v>
      </c>
      <c r="D243" s="1158" t="s">
        <v>137</v>
      </c>
      <c r="E243" s="1946">
        <v>4.4580000000000002</v>
      </c>
      <c r="F243" s="1944">
        <v>36180</v>
      </c>
      <c r="G243" s="359"/>
      <c r="H243" s="359"/>
      <c r="I243" s="360"/>
      <c r="J243" s="525"/>
      <c r="K243" s="1133"/>
      <c r="L243" s="1012"/>
      <c r="M243" s="27"/>
      <c r="N243" s="27"/>
      <c r="O243" s="361"/>
      <c r="P243" s="362"/>
      <c r="Q243" s="27"/>
      <c r="R243" s="1062"/>
      <c r="S243" s="27"/>
      <c r="T243" s="27"/>
      <c r="U243" s="27"/>
      <c r="V243" s="362"/>
      <c r="W243" s="27"/>
      <c r="X243" s="362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316"/>
      <c r="AQ243" s="8"/>
    </row>
    <row r="244" spans="1:43" ht="29.25" hidden="1" customHeight="1" thickBot="1" x14ac:dyDescent="0.3">
      <c r="A244" s="1988"/>
      <c r="B244" s="1492"/>
      <c r="C244" s="1257"/>
      <c r="D244" s="1795"/>
      <c r="E244" s="1947"/>
      <c r="F244" s="1945"/>
      <c r="G244" s="367"/>
      <c r="H244" s="367"/>
      <c r="I244" s="757"/>
      <c r="J244" s="160"/>
      <c r="K244" s="759"/>
      <c r="L244" s="897"/>
      <c r="M244" s="1127"/>
      <c r="N244" s="1127"/>
      <c r="O244" s="370"/>
      <c r="P244" s="371"/>
      <c r="Q244" s="1127"/>
      <c r="R244" s="549"/>
      <c r="S244" s="27"/>
      <c r="T244" s="27"/>
      <c r="U244" s="27"/>
      <c r="V244" s="362"/>
      <c r="W244" s="27"/>
      <c r="X244" s="362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316"/>
      <c r="AQ244" s="8"/>
    </row>
    <row r="245" spans="1:43" ht="39.75" hidden="1" customHeight="1" thickBot="1" x14ac:dyDescent="0.3">
      <c r="A245" s="159">
        <f>A243+1</f>
        <v>5</v>
      </c>
      <c r="B245" s="1045"/>
      <c r="C245" s="1004" t="s">
        <v>114</v>
      </c>
      <c r="D245" s="999" t="s">
        <v>138</v>
      </c>
      <c r="E245" s="941">
        <v>35.186</v>
      </c>
      <c r="F245" s="904">
        <v>249576</v>
      </c>
      <c r="G245" s="367"/>
      <c r="H245" s="367"/>
      <c r="I245" s="589"/>
      <c r="J245" s="160"/>
      <c r="K245" s="590"/>
      <c r="L245" s="897"/>
      <c r="M245" s="1127"/>
      <c r="N245" s="1127"/>
      <c r="O245" s="370"/>
      <c r="P245" s="371"/>
      <c r="Q245" s="1127"/>
      <c r="R245" s="549"/>
      <c r="S245" s="27"/>
      <c r="T245" s="27"/>
      <c r="U245" s="27"/>
      <c r="V245" s="362"/>
      <c r="W245" s="27"/>
      <c r="X245" s="362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316"/>
      <c r="AQ245" s="8"/>
    </row>
    <row r="246" spans="1:43" ht="18.600000000000001" customHeight="1" x14ac:dyDescent="0.25">
      <c r="A246" s="1227">
        <v>4</v>
      </c>
      <c r="B246" s="1253">
        <v>1960132</v>
      </c>
      <c r="C246" s="1256" t="s">
        <v>115</v>
      </c>
      <c r="D246" s="1336" t="s">
        <v>39</v>
      </c>
      <c r="E246" s="1779">
        <f>41.2+39.952-39.952</f>
        <v>41.2</v>
      </c>
      <c r="F246" s="1509">
        <f>506660+502202-502202</f>
        <v>506660</v>
      </c>
      <c r="G246" s="1309" t="s">
        <v>1055</v>
      </c>
      <c r="H246" s="1389" t="s">
        <v>1056</v>
      </c>
      <c r="I246" s="1207" t="s">
        <v>7</v>
      </c>
      <c r="J246" s="1041">
        <v>9</v>
      </c>
      <c r="K246" s="162" t="s">
        <v>2</v>
      </c>
      <c r="L246" s="1459">
        <f>17152.666-L248</f>
        <v>17042.835999999999</v>
      </c>
      <c r="M246" s="591"/>
      <c r="N246" s="328"/>
      <c r="O246" s="215"/>
      <c r="P246" s="329"/>
      <c r="Q246" s="328"/>
      <c r="R246" s="592"/>
      <c r="S246" s="178"/>
      <c r="T246" s="9"/>
      <c r="U246" s="9"/>
      <c r="V246" s="283"/>
      <c r="W246" s="9"/>
      <c r="X246" s="74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316"/>
      <c r="AQ246" s="8"/>
    </row>
    <row r="247" spans="1:43" x14ac:dyDescent="0.25">
      <c r="A247" s="1223"/>
      <c r="B247" s="1500"/>
      <c r="C247" s="1277"/>
      <c r="D247" s="1513"/>
      <c r="E247" s="1780"/>
      <c r="F247" s="1510"/>
      <c r="G247" s="1310"/>
      <c r="H247" s="1390"/>
      <c r="I247" s="1157"/>
      <c r="J247" s="1014">
        <v>54470.26</v>
      </c>
      <c r="K247" s="318" t="s">
        <v>3</v>
      </c>
      <c r="L247" s="1460"/>
      <c r="M247" s="178"/>
      <c r="N247" s="9"/>
      <c r="O247" s="65"/>
      <c r="P247" s="74"/>
      <c r="Q247" s="9"/>
      <c r="R247" s="534"/>
      <c r="S247" s="178"/>
      <c r="T247" s="9"/>
      <c r="U247" s="9"/>
      <c r="V247" s="74"/>
      <c r="W247" s="9"/>
      <c r="X247" s="74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316"/>
      <c r="AQ247" s="8"/>
    </row>
    <row r="248" spans="1:43" ht="21.2" customHeight="1" thickBot="1" x14ac:dyDescent="0.3">
      <c r="A248" s="1223"/>
      <c r="B248" s="1500"/>
      <c r="C248" s="1277"/>
      <c r="D248" s="1513"/>
      <c r="E248" s="1780"/>
      <c r="F248" s="1510"/>
      <c r="G248" s="1311"/>
      <c r="H248" s="1391"/>
      <c r="I248" s="1113" t="s">
        <v>8</v>
      </c>
      <c r="J248" s="163">
        <v>8.9920000000000009</v>
      </c>
      <c r="K248" s="169" t="s">
        <v>2</v>
      </c>
      <c r="L248" s="1017">
        <v>109.83</v>
      </c>
      <c r="M248" s="178"/>
      <c r="N248" s="9"/>
      <c r="O248" s="65"/>
      <c r="P248" s="74"/>
      <c r="Q248" s="9"/>
      <c r="R248" s="534"/>
      <c r="S248" s="178"/>
      <c r="T248" s="9"/>
      <c r="U248" s="9"/>
      <c r="V248" s="74"/>
      <c r="W248" s="9"/>
      <c r="X248" s="74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316"/>
      <c r="AQ248" s="8"/>
    </row>
    <row r="249" spans="1:43" ht="28.35" hidden="1" customHeight="1" x14ac:dyDescent="0.25">
      <c r="A249" s="1223"/>
      <c r="B249" s="1500"/>
      <c r="C249" s="1277"/>
      <c r="D249" s="1513"/>
      <c r="E249" s="1780"/>
      <c r="F249" s="1510"/>
      <c r="G249" s="369"/>
      <c r="H249" s="369"/>
      <c r="I249" s="360"/>
      <c r="J249" s="154"/>
      <c r="K249" s="1133"/>
      <c r="L249" s="570"/>
      <c r="M249" s="363"/>
      <c r="N249" s="27"/>
      <c r="O249" s="361"/>
      <c r="P249" s="74"/>
      <c r="Q249" s="27"/>
      <c r="R249" s="551"/>
      <c r="S249" s="363"/>
      <c r="T249" s="27"/>
      <c r="U249" s="27"/>
      <c r="V249" s="362"/>
      <c r="W249" s="27"/>
      <c r="X249" s="362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316"/>
      <c r="AQ249" s="8"/>
    </row>
    <row r="250" spans="1:43" ht="16.149999999999999" hidden="1" customHeight="1" x14ac:dyDescent="0.25">
      <c r="A250" s="1223"/>
      <c r="B250" s="1500"/>
      <c r="C250" s="1277"/>
      <c r="D250" s="1513"/>
      <c r="E250" s="1780"/>
      <c r="F250" s="1510"/>
      <c r="G250" s="359"/>
      <c r="H250" s="359"/>
      <c r="I250" s="942"/>
      <c r="J250" s="525"/>
      <c r="K250" s="119"/>
      <c r="L250" s="271"/>
      <c r="M250" s="363"/>
      <c r="N250" s="27"/>
      <c r="O250" s="361"/>
      <c r="P250" s="74"/>
      <c r="Q250" s="27"/>
      <c r="R250" s="551"/>
      <c r="S250" s="363"/>
      <c r="T250" s="27"/>
      <c r="U250" s="27"/>
      <c r="V250" s="362"/>
      <c r="W250" s="27"/>
      <c r="X250" s="362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316"/>
      <c r="AQ250" s="8"/>
    </row>
    <row r="251" spans="1:43" ht="16.149999999999999" hidden="1" customHeight="1" x14ac:dyDescent="0.25">
      <c r="A251" s="1223"/>
      <c r="B251" s="1500"/>
      <c r="C251" s="1277"/>
      <c r="D251" s="1513"/>
      <c r="E251" s="1780"/>
      <c r="F251" s="1510"/>
      <c r="G251" s="359"/>
      <c r="H251" s="359"/>
      <c r="I251" s="942"/>
      <c r="J251" s="525"/>
      <c r="K251" s="119"/>
      <c r="L251" s="271"/>
      <c r="M251" s="363"/>
      <c r="N251" s="27"/>
      <c r="O251" s="361"/>
      <c r="P251" s="74"/>
      <c r="Q251" s="27"/>
      <c r="R251" s="551"/>
      <c r="S251" s="363"/>
      <c r="T251" s="27"/>
      <c r="U251" s="27"/>
      <c r="V251" s="362"/>
      <c r="W251" s="27"/>
      <c r="X251" s="362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316"/>
      <c r="AQ251" s="8"/>
    </row>
    <row r="252" spans="1:43" ht="16.149999999999999" hidden="1" customHeight="1" x14ac:dyDescent="0.25">
      <c r="A252" s="1223"/>
      <c r="B252" s="1500"/>
      <c r="C252" s="1277"/>
      <c r="D252" s="1513"/>
      <c r="E252" s="1780"/>
      <c r="F252" s="1510"/>
      <c r="G252" s="359"/>
      <c r="H252" s="359"/>
      <c r="I252" s="942"/>
      <c r="J252" s="525"/>
      <c r="K252" s="119"/>
      <c r="L252" s="271"/>
      <c r="M252" s="363"/>
      <c r="N252" s="27"/>
      <c r="O252" s="361"/>
      <c r="P252" s="74"/>
      <c r="Q252" s="27"/>
      <c r="R252" s="551"/>
      <c r="S252" s="363"/>
      <c r="T252" s="27"/>
      <c r="U252" s="27"/>
      <c r="V252" s="362"/>
      <c r="W252" s="27"/>
      <c r="X252" s="362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316"/>
      <c r="AQ252" s="8"/>
    </row>
    <row r="253" spans="1:43" ht="20.65" hidden="1" customHeight="1" x14ac:dyDescent="0.25">
      <c r="A253" s="1223"/>
      <c r="B253" s="1500"/>
      <c r="C253" s="1277"/>
      <c r="D253" s="1513"/>
      <c r="E253" s="1780"/>
      <c r="F253" s="1510"/>
      <c r="G253" s="359"/>
      <c r="H253" s="359"/>
      <c r="I253" s="942"/>
      <c r="J253" s="525"/>
      <c r="K253" s="119"/>
      <c r="L253" s="271"/>
      <c r="M253" s="363"/>
      <c r="N253" s="27"/>
      <c r="O253" s="361"/>
      <c r="P253" s="74"/>
      <c r="Q253" s="27"/>
      <c r="R253" s="551"/>
      <c r="S253" s="363"/>
      <c r="T253" s="27"/>
      <c r="U253" s="27"/>
      <c r="V253" s="362"/>
      <c r="W253" s="27"/>
      <c r="X253" s="362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316"/>
      <c r="AQ253" s="8"/>
    </row>
    <row r="254" spans="1:43" ht="16.7" hidden="1" customHeight="1" x14ac:dyDescent="0.25">
      <c r="A254" s="1223"/>
      <c r="B254" s="1500"/>
      <c r="C254" s="1277"/>
      <c r="D254" s="1513"/>
      <c r="E254" s="1780"/>
      <c r="F254" s="1510"/>
      <c r="G254" s="359"/>
      <c r="H254" s="359"/>
      <c r="I254" s="942"/>
      <c r="J254" s="525"/>
      <c r="K254" s="119"/>
      <c r="L254" s="271"/>
      <c r="M254" s="363"/>
      <c r="N254" s="27"/>
      <c r="O254" s="361"/>
      <c r="P254" s="74"/>
      <c r="Q254" s="27"/>
      <c r="R254" s="551"/>
      <c r="S254" s="363"/>
      <c r="T254" s="27"/>
      <c r="U254" s="27"/>
      <c r="V254" s="362"/>
      <c r="W254" s="27"/>
      <c r="X254" s="362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316"/>
      <c r="AQ254" s="8"/>
    </row>
    <row r="255" spans="1:43" ht="14.1" hidden="1" customHeight="1" x14ac:dyDescent="0.25">
      <c r="A255" s="1223"/>
      <c r="B255" s="1500"/>
      <c r="C255" s="1277"/>
      <c r="D255" s="1513"/>
      <c r="E255" s="1780"/>
      <c r="F255" s="1510"/>
      <c r="G255" s="359"/>
      <c r="H255" s="359"/>
      <c r="I255" s="942"/>
      <c r="J255" s="525"/>
      <c r="K255" s="119"/>
      <c r="L255" s="271"/>
      <c r="M255" s="363"/>
      <c r="N255" s="27"/>
      <c r="O255" s="361"/>
      <c r="P255" s="74"/>
      <c r="Q255" s="27"/>
      <c r="R255" s="551"/>
      <c r="S255" s="363"/>
      <c r="T255" s="27"/>
      <c r="U255" s="27"/>
      <c r="V255" s="362"/>
      <c r="W255" s="27"/>
      <c r="X255" s="362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316"/>
      <c r="AQ255" s="8"/>
    </row>
    <row r="256" spans="1:43" ht="19.899999999999999" hidden="1" customHeight="1" x14ac:dyDescent="0.25">
      <c r="A256" s="1223"/>
      <c r="B256" s="1500"/>
      <c r="C256" s="1277"/>
      <c r="D256" s="1513"/>
      <c r="E256" s="1780"/>
      <c r="F256" s="1510"/>
      <c r="G256" s="359"/>
      <c r="H256" s="359"/>
      <c r="I256" s="942"/>
      <c r="J256" s="525"/>
      <c r="K256" s="119"/>
      <c r="L256" s="271"/>
      <c r="M256" s="363"/>
      <c r="N256" s="27"/>
      <c r="O256" s="361"/>
      <c r="P256" s="74"/>
      <c r="Q256" s="27"/>
      <c r="R256" s="551"/>
      <c r="S256" s="363"/>
      <c r="T256" s="27"/>
      <c r="U256" s="27"/>
      <c r="V256" s="362"/>
      <c r="W256" s="27"/>
      <c r="X256" s="362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316"/>
      <c r="AQ256" s="8"/>
    </row>
    <row r="257" spans="1:43" ht="14.1" hidden="1" customHeight="1" x14ac:dyDescent="0.25">
      <c r="A257" s="1223"/>
      <c r="B257" s="1500"/>
      <c r="C257" s="1277"/>
      <c r="D257" s="1513"/>
      <c r="E257" s="1780"/>
      <c r="F257" s="1510"/>
      <c r="G257" s="359"/>
      <c r="H257" s="359"/>
      <c r="I257" s="942"/>
      <c r="J257" s="525"/>
      <c r="K257" s="119"/>
      <c r="L257" s="271"/>
      <c r="M257" s="363"/>
      <c r="N257" s="27"/>
      <c r="O257" s="361"/>
      <c r="P257" s="74"/>
      <c r="Q257" s="27"/>
      <c r="R257" s="551"/>
      <c r="S257" s="363"/>
      <c r="T257" s="27"/>
      <c r="U257" s="27"/>
      <c r="V257" s="362"/>
      <c r="W257" s="27"/>
      <c r="X257" s="362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316"/>
      <c r="AQ257" s="8"/>
    </row>
    <row r="258" spans="1:43" ht="28.35" hidden="1" customHeight="1" x14ac:dyDescent="0.25">
      <c r="A258" s="1223"/>
      <c r="B258" s="1500"/>
      <c r="C258" s="1277"/>
      <c r="D258" s="1513"/>
      <c r="E258" s="1780"/>
      <c r="F258" s="1510"/>
      <c r="G258" s="359"/>
      <c r="H258" s="359"/>
      <c r="I258" s="942"/>
      <c r="J258" s="525"/>
      <c r="K258" s="119"/>
      <c r="L258" s="271"/>
      <c r="M258" s="458"/>
      <c r="N258" s="1127"/>
      <c r="O258" s="376"/>
      <c r="P258" s="336"/>
      <c r="Q258" s="377"/>
      <c r="R258" s="593"/>
      <c r="S258" s="363"/>
      <c r="T258" s="27"/>
      <c r="U258" s="27"/>
      <c r="V258" s="362"/>
      <c r="W258" s="27"/>
      <c r="X258" s="362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316"/>
      <c r="AQ258" s="8"/>
    </row>
    <row r="259" spans="1:43" ht="18" hidden="1" customHeight="1" x14ac:dyDescent="0.25">
      <c r="A259" s="1223"/>
      <c r="B259" s="1500"/>
      <c r="C259" s="1277"/>
      <c r="D259" s="1513"/>
      <c r="E259" s="1780"/>
      <c r="F259" s="1510"/>
      <c r="G259" s="359"/>
      <c r="H259" s="359"/>
      <c r="I259" s="942"/>
      <c r="J259" s="525"/>
      <c r="K259" s="119"/>
      <c r="L259" s="271"/>
      <c r="M259" s="363"/>
      <c r="N259" s="27"/>
      <c r="O259" s="361"/>
      <c r="P259" s="74"/>
      <c r="Q259" s="27"/>
      <c r="R259" s="551"/>
      <c r="S259" s="363"/>
      <c r="T259" s="27"/>
      <c r="U259" s="27"/>
      <c r="V259" s="362"/>
      <c r="W259" s="27"/>
      <c r="X259" s="362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316"/>
      <c r="AQ259" s="8"/>
    </row>
    <row r="260" spans="1:43" ht="14.85" hidden="1" customHeight="1" x14ac:dyDescent="0.25">
      <c r="A260" s="1223"/>
      <c r="B260" s="1500"/>
      <c r="C260" s="1277"/>
      <c r="D260" s="1513"/>
      <c r="E260" s="1780"/>
      <c r="F260" s="1510"/>
      <c r="G260" s="359"/>
      <c r="H260" s="359"/>
      <c r="I260" s="942"/>
      <c r="J260" s="525"/>
      <c r="K260" s="119"/>
      <c r="L260" s="271"/>
      <c r="M260" s="363"/>
      <c r="N260" s="27"/>
      <c r="O260" s="361"/>
      <c r="P260" s="74"/>
      <c r="Q260" s="27"/>
      <c r="R260" s="551"/>
      <c r="S260" s="363"/>
      <c r="T260" s="27"/>
      <c r="U260" s="27"/>
      <c r="V260" s="362"/>
      <c r="W260" s="27"/>
      <c r="X260" s="362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316"/>
      <c r="AQ260" s="8"/>
    </row>
    <row r="261" spans="1:43" ht="16.7" hidden="1" customHeight="1" x14ac:dyDescent="0.25">
      <c r="A261" s="1223"/>
      <c r="B261" s="1500"/>
      <c r="C261" s="1277"/>
      <c r="D261" s="1513"/>
      <c r="E261" s="1780"/>
      <c r="F261" s="1510"/>
      <c r="G261" s="359"/>
      <c r="H261" s="359"/>
      <c r="I261" s="942"/>
      <c r="J261" s="525"/>
      <c r="K261" s="119"/>
      <c r="L261" s="271"/>
      <c r="M261" s="363"/>
      <c r="N261" s="27"/>
      <c r="O261" s="361"/>
      <c r="P261" s="74"/>
      <c r="Q261" s="27"/>
      <c r="R261" s="551"/>
      <c r="S261" s="363"/>
      <c r="T261" s="27"/>
      <c r="U261" s="27"/>
      <c r="V261" s="362"/>
      <c r="W261" s="27"/>
      <c r="X261" s="362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316"/>
      <c r="AQ261" s="8"/>
    </row>
    <row r="262" spans="1:43" ht="15.4" hidden="1" customHeight="1" x14ac:dyDescent="0.25">
      <c r="A262" s="1223"/>
      <c r="B262" s="1500"/>
      <c r="C262" s="1277"/>
      <c r="D262" s="1513"/>
      <c r="E262" s="1780"/>
      <c r="F262" s="1510"/>
      <c r="G262" s="359"/>
      <c r="H262" s="359"/>
      <c r="I262" s="942"/>
      <c r="J262" s="525"/>
      <c r="K262" s="119"/>
      <c r="L262" s="271"/>
      <c r="M262" s="363"/>
      <c r="N262" s="27"/>
      <c r="O262" s="361"/>
      <c r="P262" s="74"/>
      <c r="Q262" s="27"/>
      <c r="R262" s="551"/>
      <c r="S262" s="363"/>
      <c r="T262" s="27"/>
      <c r="U262" s="27"/>
      <c r="V262" s="362"/>
      <c r="W262" s="27"/>
      <c r="X262" s="362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316"/>
      <c r="AQ262" s="8"/>
    </row>
    <row r="263" spans="1:43" ht="16.149999999999999" hidden="1" customHeight="1" x14ac:dyDescent="0.25">
      <c r="A263" s="1223"/>
      <c r="B263" s="1500"/>
      <c r="C263" s="1277"/>
      <c r="D263" s="1513"/>
      <c r="E263" s="1780"/>
      <c r="F263" s="1510"/>
      <c r="G263" s="359"/>
      <c r="H263" s="359"/>
      <c r="I263" s="942"/>
      <c r="J263" s="525"/>
      <c r="K263" s="119"/>
      <c r="L263" s="271"/>
      <c r="M263" s="363"/>
      <c r="N263" s="27"/>
      <c r="O263" s="361"/>
      <c r="P263" s="74"/>
      <c r="Q263" s="27"/>
      <c r="R263" s="551"/>
      <c r="S263" s="363"/>
      <c r="T263" s="27"/>
      <c r="U263" s="27"/>
      <c r="V263" s="362"/>
      <c r="W263" s="27"/>
      <c r="X263" s="362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316"/>
      <c r="AQ263" s="8"/>
    </row>
    <row r="264" spans="1:43" ht="14.85" hidden="1" customHeight="1" x14ac:dyDescent="0.25">
      <c r="A264" s="1223"/>
      <c r="B264" s="1500"/>
      <c r="C264" s="1277"/>
      <c r="D264" s="1513"/>
      <c r="E264" s="1780"/>
      <c r="F264" s="1510"/>
      <c r="G264" s="359"/>
      <c r="H264" s="359"/>
      <c r="I264" s="942"/>
      <c r="J264" s="525"/>
      <c r="K264" s="119"/>
      <c r="L264" s="271"/>
      <c r="M264" s="363"/>
      <c r="N264" s="27"/>
      <c r="O264" s="361"/>
      <c r="P264" s="74"/>
      <c r="Q264" s="27"/>
      <c r="R264" s="551"/>
      <c r="S264" s="363"/>
      <c r="T264" s="27"/>
      <c r="U264" s="27"/>
      <c r="V264" s="362"/>
      <c r="W264" s="27"/>
      <c r="X264" s="362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316"/>
      <c r="AQ264" s="8"/>
    </row>
    <row r="265" spans="1:43" ht="16.149999999999999" hidden="1" customHeight="1" x14ac:dyDescent="0.25">
      <c r="A265" s="1223"/>
      <c r="B265" s="1500"/>
      <c r="C265" s="1277"/>
      <c r="D265" s="1513"/>
      <c r="E265" s="1780"/>
      <c r="F265" s="1510"/>
      <c r="G265" s="359"/>
      <c r="H265" s="359"/>
      <c r="I265" s="942"/>
      <c r="J265" s="525"/>
      <c r="K265" s="119"/>
      <c r="L265" s="271"/>
      <c r="M265" s="363"/>
      <c r="N265" s="27"/>
      <c r="O265" s="361"/>
      <c r="P265" s="74"/>
      <c r="Q265" s="27"/>
      <c r="R265" s="551"/>
      <c r="S265" s="363"/>
      <c r="T265" s="27"/>
      <c r="U265" s="27"/>
      <c r="V265" s="362"/>
      <c r="W265" s="27"/>
      <c r="X265" s="362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316"/>
      <c r="AQ265" s="8"/>
    </row>
    <row r="266" spans="1:43" ht="34.15" hidden="1" customHeight="1" x14ac:dyDescent="0.25">
      <c r="A266" s="1223"/>
      <c r="B266" s="1500"/>
      <c r="C266" s="1277"/>
      <c r="D266" s="1513"/>
      <c r="E266" s="1780"/>
      <c r="F266" s="1510"/>
      <c r="G266" s="378"/>
      <c r="H266" s="378"/>
      <c r="I266" s="379"/>
      <c r="J266" s="525"/>
      <c r="K266" s="141"/>
      <c r="L266" s="571"/>
      <c r="M266" s="459"/>
      <c r="N266" s="378"/>
      <c r="O266" s="379"/>
      <c r="P266" s="137"/>
      <c r="Q266" s="380"/>
      <c r="R266" s="594"/>
      <c r="S266" s="363"/>
      <c r="T266" s="27"/>
      <c r="U266" s="27"/>
      <c r="V266" s="362"/>
      <c r="W266" s="27"/>
      <c r="X266" s="362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316"/>
      <c r="AQ266" s="8"/>
    </row>
    <row r="267" spans="1:43" ht="28.35" hidden="1" customHeight="1" x14ac:dyDescent="0.25">
      <c r="A267" s="1223"/>
      <c r="B267" s="1500"/>
      <c r="C267" s="1277"/>
      <c r="D267" s="1513"/>
      <c r="E267" s="1780"/>
      <c r="F267" s="1510"/>
      <c r="G267" s="359"/>
      <c r="H267" s="359"/>
      <c r="I267" s="942"/>
      <c r="J267" s="525"/>
      <c r="K267" s="119"/>
      <c r="L267" s="271"/>
      <c r="M267" s="363"/>
      <c r="N267" s="27"/>
      <c r="O267" s="361"/>
      <c r="P267" s="74"/>
      <c r="Q267" s="27"/>
      <c r="R267" s="551"/>
      <c r="S267" s="363"/>
      <c r="T267" s="27"/>
      <c r="U267" s="27"/>
      <c r="V267" s="362"/>
      <c r="W267" s="27"/>
      <c r="X267" s="362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316"/>
      <c r="AQ267" s="8"/>
    </row>
    <row r="268" spans="1:43" ht="14.1" hidden="1" customHeight="1" x14ac:dyDescent="0.25">
      <c r="A268" s="1223"/>
      <c r="B268" s="1500"/>
      <c r="C268" s="1277"/>
      <c r="D268" s="1513"/>
      <c r="E268" s="1780"/>
      <c r="F268" s="1510"/>
      <c r="G268" s="359"/>
      <c r="H268" s="359"/>
      <c r="I268" s="942"/>
      <c r="J268" s="525"/>
      <c r="K268" s="119"/>
      <c r="L268" s="271"/>
      <c r="M268" s="363"/>
      <c r="N268" s="27"/>
      <c r="O268" s="361"/>
      <c r="P268" s="74"/>
      <c r="Q268" s="27"/>
      <c r="R268" s="551"/>
      <c r="S268" s="363"/>
      <c r="T268" s="27"/>
      <c r="U268" s="27"/>
      <c r="V268" s="362"/>
      <c r="W268" s="27"/>
      <c r="X268" s="362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316"/>
      <c r="AQ268" s="8"/>
    </row>
    <row r="269" spans="1:43" ht="28.9" hidden="1" customHeight="1" x14ac:dyDescent="0.25">
      <c r="A269" s="1223"/>
      <c r="B269" s="1500"/>
      <c r="C269" s="1277"/>
      <c r="D269" s="1513"/>
      <c r="E269" s="1780"/>
      <c r="F269" s="1510"/>
      <c r="G269" s="359"/>
      <c r="H269" s="359"/>
      <c r="I269" s="942"/>
      <c r="J269" s="525"/>
      <c r="K269" s="119"/>
      <c r="L269" s="271"/>
      <c r="M269" s="363"/>
      <c r="N269" s="27"/>
      <c r="O269" s="361"/>
      <c r="P269" s="74"/>
      <c r="Q269" s="27"/>
      <c r="R269" s="551"/>
      <c r="S269" s="363"/>
      <c r="T269" s="27"/>
      <c r="U269" s="27"/>
      <c r="V269" s="362"/>
      <c r="W269" s="27"/>
      <c r="X269" s="362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316"/>
      <c r="AQ269" s="8"/>
    </row>
    <row r="270" spans="1:43" ht="15.4" hidden="1" customHeight="1" x14ac:dyDescent="0.25">
      <c r="A270" s="1223"/>
      <c r="B270" s="1500"/>
      <c r="C270" s="1277"/>
      <c r="D270" s="1513"/>
      <c r="E270" s="1780"/>
      <c r="F270" s="1510"/>
      <c r="G270" s="359"/>
      <c r="H270" s="359"/>
      <c r="I270" s="942"/>
      <c r="J270" s="525"/>
      <c r="K270" s="119"/>
      <c r="L270" s="271"/>
      <c r="M270" s="363"/>
      <c r="N270" s="27"/>
      <c r="O270" s="361"/>
      <c r="P270" s="74"/>
      <c r="Q270" s="27"/>
      <c r="R270" s="551"/>
      <c r="S270" s="363"/>
      <c r="T270" s="27"/>
      <c r="U270" s="27"/>
      <c r="V270" s="362"/>
      <c r="W270" s="27"/>
      <c r="X270" s="362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316"/>
      <c r="AQ270" s="8"/>
    </row>
    <row r="271" spans="1:43" ht="16.7" hidden="1" customHeight="1" x14ac:dyDescent="0.25">
      <c r="A271" s="1223"/>
      <c r="B271" s="1500"/>
      <c r="C271" s="1277"/>
      <c r="D271" s="1513"/>
      <c r="E271" s="1780"/>
      <c r="F271" s="1510"/>
      <c r="G271" s="359"/>
      <c r="H271" s="359"/>
      <c r="I271" s="942"/>
      <c r="J271" s="525"/>
      <c r="K271" s="119"/>
      <c r="L271" s="271"/>
      <c r="M271" s="363"/>
      <c r="N271" s="27"/>
      <c r="O271" s="361"/>
      <c r="P271" s="74"/>
      <c r="Q271" s="27"/>
      <c r="R271" s="551"/>
      <c r="S271" s="363"/>
      <c r="T271" s="27"/>
      <c r="U271" s="27"/>
      <c r="V271" s="362"/>
      <c r="W271" s="27"/>
      <c r="X271" s="362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316"/>
      <c r="AQ271" s="8"/>
    </row>
    <row r="272" spans="1:43" ht="13.5" hidden="1" customHeight="1" x14ac:dyDescent="0.25">
      <c r="A272" s="1223"/>
      <c r="B272" s="1500"/>
      <c r="C272" s="1277"/>
      <c r="D272" s="1513"/>
      <c r="E272" s="1780"/>
      <c r="F272" s="1510"/>
      <c r="G272" s="359"/>
      <c r="H272" s="359"/>
      <c r="I272" s="942"/>
      <c r="J272" s="525"/>
      <c r="K272" s="119"/>
      <c r="L272" s="271"/>
      <c r="M272" s="363"/>
      <c r="N272" s="27"/>
      <c r="O272" s="361"/>
      <c r="P272" s="74"/>
      <c r="Q272" s="27"/>
      <c r="R272" s="551"/>
      <c r="S272" s="363"/>
      <c r="T272" s="27"/>
      <c r="U272" s="27"/>
      <c r="V272" s="362"/>
      <c r="W272" s="27"/>
      <c r="X272" s="362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316"/>
      <c r="AQ272" s="8"/>
    </row>
    <row r="273" spans="1:43" ht="14.1" hidden="1" customHeight="1" x14ac:dyDescent="0.25">
      <c r="A273" s="1223"/>
      <c r="B273" s="1500"/>
      <c r="C273" s="1277"/>
      <c r="D273" s="1513"/>
      <c r="E273" s="1780"/>
      <c r="F273" s="1510"/>
      <c r="G273" s="359"/>
      <c r="H273" s="359"/>
      <c r="I273" s="942"/>
      <c r="J273" s="525"/>
      <c r="K273" s="119"/>
      <c r="L273" s="271"/>
      <c r="M273" s="363"/>
      <c r="N273" s="27"/>
      <c r="O273" s="361"/>
      <c r="P273" s="74"/>
      <c r="Q273" s="27"/>
      <c r="R273" s="551"/>
      <c r="S273" s="363"/>
      <c r="T273" s="27"/>
      <c r="U273" s="27"/>
      <c r="V273" s="362"/>
      <c r="W273" s="27"/>
      <c r="X273" s="362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316"/>
      <c r="AQ273" s="8"/>
    </row>
    <row r="274" spans="1:43" ht="28.35" hidden="1" customHeight="1" x14ac:dyDescent="0.25">
      <c r="A274" s="1223"/>
      <c r="B274" s="1500"/>
      <c r="C274" s="1277"/>
      <c r="D274" s="1513"/>
      <c r="E274" s="1780"/>
      <c r="F274" s="1510"/>
      <c r="G274" s="359"/>
      <c r="H274" s="359"/>
      <c r="I274" s="942"/>
      <c r="J274" s="525"/>
      <c r="K274" s="119"/>
      <c r="L274" s="271"/>
      <c r="M274" s="363"/>
      <c r="N274" s="27"/>
      <c r="O274" s="361"/>
      <c r="P274" s="74"/>
      <c r="Q274" s="27"/>
      <c r="R274" s="551"/>
      <c r="S274" s="363"/>
      <c r="T274" s="27"/>
      <c r="U274" s="27"/>
      <c r="V274" s="362"/>
      <c r="W274" s="27"/>
      <c r="X274" s="362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316"/>
      <c r="AQ274" s="8"/>
    </row>
    <row r="275" spans="1:43" ht="25.7" hidden="1" customHeight="1" x14ac:dyDescent="0.25">
      <c r="A275" s="1223"/>
      <c r="B275" s="1500"/>
      <c r="C275" s="1277"/>
      <c r="D275" s="1513"/>
      <c r="E275" s="1780"/>
      <c r="F275" s="1510"/>
      <c r="G275" s="359"/>
      <c r="H275" s="359"/>
      <c r="I275" s="942"/>
      <c r="J275" s="525"/>
      <c r="K275" s="119"/>
      <c r="L275" s="271"/>
      <c r="M275" s="363"/>
      <c r="N275" s="27"/>
      <c r="O275" s="361"/>
      <c r="P275" s="74"/>
      <c r="Q275" s="27"/>
      <c r="R275" s="551"/>
      <c r="S275" s="363"/>
      <c r="T275" s="27"/>
      <c r="U275" s="27"/>
      <c r="V275" s="362"/>
      <c r="W275" s="27"/>
      <c r="X275" s="362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316"/>
      <c r="AQ275" s="8"/>
    </row>
    <row r="276" spans="1:43" ht="22.5" hidden="1" customHeight="1" x14ac:dyDescent="0.25">
      <c r="A276" s="1223"/>
      <c r="B276" s="1500"/>
      <c r="C276" s="1277"/>
      <c r="D276" s="1513"/>
      <c r="E276" s="1780"/>
      <c r="F276" s="1510"/>
      <c r="G276" s="359"/>
      <c r="H276" s="359"/>
      <c r="I276" s="942"/>
      <c r="J276" s="525"/>
      <c r="K276" s="119"/>
      <c r="L276" s="271"/>
      <c r="M276" s="363"/>
      <c r="N276" s="27"/>
      <c r="O276" s="361"/>
      <c r="P276" s="74"/>
      <c r="Q276" s="27"/>
      <c r="R276" s="551"/>
      <c r="S276" s="363"/>
      <c r="T276" s="27"/>
      <c r="U276" s="27"/>
      <c r="V276" s="362"/>
      <c r="W276" s="27"/>
      <c r="X276" s="362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316"/>
      <c r="AQ276" s="8"/>
    </row>
    <row r="277" spans="1:43" ht="16.149999999999999" hidden="1" customHeight="1" x14ac:dyDescent="0.25">
      <c r="A277" s="1223"/>
      <c r="B277" s="1500"/>
      <c r="C277" s="1277"/>
      <c r="D277" s="1513"/>
      <c r="E277" s="1780"/>
      <c r="F277" s="1510"/>
      <c r="G277" s="359"/>
      <c r="H277" s="359"/>
      <c r="I277" s="942"/>
      <c r="J277" s="525"/>
      <c r="K277" s="119"/>
      <c r="L277" s="271"/>
      <c r="M277" s="363"/>
      <c r="N277" s="27"/>
      <c r="O277" s="361"/>
      <c r="P277" s="74"/>
      <c r="Q277" s="27"/>
      <c r="R277" s="551"/>
      <c r="S277" s="363"/>
      <c r="T277" s="27"/>
      <c r="U277" s="27"/>
      <c r="V277" s="362"/>
      <c r="W277" s="27"/>
      <c r="X277" s="362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316"/>
      <c r="AQ277" s="8"/>
    </row>
    <row r="278" spans="1:43" ht="14.1" hidden="1" customHeight="1" x14ac:dyDescent="0.25">
      <c r="A278" s="1223"/>
      <c r="B278" s="1500"/>
      <c r="C278" s="1277"/>
      <c r="D278" s="1513"/>
      <c r="E278" s="1780"/>
      <c r="F278" s="1510"/>
      <c r="G278" s="359"/>
      <c r="H278" s="359"/>
      <c r="I278" s="942"/>
      <c r="J278" s="525"/>
      <c r="K278" s="119"/>
      <c r="L278" s="271"/>
      <c r="M278" s="363"/>
      <c r="N278" s="27"/>
      <c r="O278" s="361"/>
      <c r="P278" s="74"/>
      <c r="Q278" s="27"/>
      <c r="R278" s="551"/>
      <c r="S278" s="363"/>
      <c r="T278" s="27"/>
      <c r="U278" s="27"/>
      <c r="V278" s="362"/>
      <c r="W278" s="27"/>
      <c r="X278" s="362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316"/>
      <c r="AQ278" s="8"/>
    </row>
    <row r="279" spans="1:43" ht="13.5" hidden="1" customHeight="1" x14ac:dyDescent="0.25">
      <c r="A279" s="1223"/>
      <c r="B279" s="1500"/>
      <c r="C279" s="1277"/>
      <c r="D279" s="1513"/>
      <c r="E279" s="1780"/>
      <c r="F279" s="1510"/>
      <c r="G279" s="359"/>
      <c r="H279" s="359"/>
      <c r="I279" s="942"/>
      <c r="J279" s="525"/>
      <c r="K279" s="119"/>
      <c r="L279" s="271"/>
      <c r="M279" s="363"/>
      <c r="N279" s="27"/>
      <c r="O279" s="361"/>
      <c r="P279" s="74"/>
      <c r="Q279" s="27"/>
      <c r="R279" s="551"/>
      <c r="S279" s="363"/>
      <c r="T279" s="27"/>
      <c r="U279" s="27"/>
      <c r="V279" s="362"/>
      <c r="W279" s="27"/>
      <c r="X279" s="362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316"/>
      <c r="AQ279" s="8"/>
    </row>
    <row r="280" spans="1:43" ht="13.5" hidden="1" customHeight="1" x14ac:dyDescent="0.25">
      <c r="A280" s="1223"/>
      <c r="B280" s="1500"/>
      <c r="C280" s="1277"/>
      <c r="D280" s="1513"/>
      <c r="E280" s="1780"/>
      <c r="F280" s="1510"/>
      <c r="G280" s="359"/>
      <c r="H280" s="359"/>
      <c r="I280" s="942"/>
      <c r="J280" s="525"/>
      <c r="K280" s="119"/>
      <c r="L280" s="271"/>
      <c r="M280" s="363"/>
      <c r="N280" s="27"/>
      <c r="O280" s="361"/>
      <c r="P280" s="74"/>
      <c r="Q280" s="27"/>
      <c r="R280" s="551"/>
      <c r="S280" s="363"/>
      <c r="T280" s="27"/>
      <c r="U280" s="27"/>
      <c r="V280" s="362"/>
      <c r="W280" s="27"/>
      <c r="X280" s="362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316"/>
      <c r="AQ280" s="8"/>
    </row>
    <row r="281" spans="1:43" ht="30.2" hidden="1" customHeight="1" x14ac:dyDescent="0.25">
      <c r="A281" s="1223"/>
      <c r="B281" s="1500"/>
      <c r="C281" s="1277"/>
      <c r="D281" s="1513"/>
      <c r="E281" s="1780"/>
      <c r="F281" s="1510"/>
      <c r="G281" s="359"/>
      <c r="H281" s="359"/>
      <c r="I281" s="942"/>
      <c r="J281" s="525"/>
      <c r="K281" s="119"/>
      <c r="L281" s="271"/>
      <c r="M281" s="363"/>
      <c r="N281" s="27"/>
      <c r="O281" s="361"/>
      <c r="P281" s="74"/>
      <c r="Q281" s="27"/>
      <c r="R281" s="551"/>
      <c r="S281" s="363"/>
      <c r="T281" s="27"/>
      <c r="U281" s="27"/>
      <c r="V281" s="362"/>
      <c r="W281" s="27"/>
      <c r="X281" s="362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316"/>
      <c r="AQ281" s="8"/>
    </row>
    <row r="282" spans="1:43" ht="27" hidden="1" customHeight="1" x14ac:dyDescent="0.25">
      <c r="A282" s="1223"/>
      <c r="B282" s="1500"/>
      <c r="C282" s="1277"/>
      <c r="D282" s="1513"/>
      <c r="E282" s="1780"/>
      <c r="F282" s="1510"/>
      <c r="G282" s="359"/>
      <c r="H282" s="359"/>
      <c r="I282" s="942"/>
      <c r="J282" s="525"/>
      <c r="K282" s="119"/>
      <c r="L282" s="271"/>
      <c r="M282" s="363"/>
      <c r="N282" s="27"/>
      <c r="O282" s="361"/>
      <c r="P282" s="74"/>
      <c r="Q282" s="27"/>
      <c r="R282" s="551"/>
      <c r="S282" s="363"/>
      <c r="T282" s="27"/>
      <c r="U282" s="27"/>
      <c r="V282" s="362"/>
      <c r="W282" s="27"/>
      <c r="X282" s="362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316"/>
      <c r="AQ282" s="8"/>
    </row>
    <row r="283" spans="1:43" ht="16.149999999999999" hidden="1" customHeight="1" x14ac:dyDescent="0.25">
      <c r="A283" s="1223"/>
      <c r="B283" s="1500"/>
      <c r="C283" s="1277"/>
      <c r="D283" s="1513"/>
      <c r="E283" s="1780"/>
      <c r="F283" s="1510"/>
      <c r="G283" s="359"/>
      <c r="H283" s="359"/>
      <c r="I283" s="942"/>
      <c r="J283" s="525"/>
      <c r="K283" s="119"/>
      <c r="L283" s="271"/>
      <c r="M283" s="363"/>
      <c r="N283" s="27"/>
      <c r="O283" s="361"/>
      <c r="P283" s="74"/>
      <c r="Q283" s="27"/>
      <c r="R283" s="551"/>
      <c r="S283" s="363"/>
      <c r="T283" s="27"/>
      <c r="U283" s="27"/>
      <c r="V283" s="362"/>
      <c r="W283" s="27"/>
      <c r="X283" s="362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316"/>
      <c r="AQ283" s="8"/>
    </row>
    <row r="284" spans="1:43" ht="45" hidden="1" customHeight="1" x14ac:dyDescent="0.25">
      <c r="A284" s="1223"/>
      <c r="B284" s="1500"/>
      <c r="C284" s="1277"/>
      <c r="D284" s="1513"/>
      <c r="E284" s="1780"/>
      <c r="F284" s="1510"/>
      <c r="G284" s="359"/>
      <c r="H284" s="359"/>
      <c r="I284" s="942"/>
      <c r="J284" s="525"/>
      <c r="K284" s="119"/>
      <c r="L284" s="271"/>
      <c r="M284" s="363"/>
      <c r="N284" s="27"/>
      <c r="O284" s="361"/>
      <c r="P284" s="74"/>
      <c r="Q284" s="27"/>
      <c r="R284" s="551"/>
      <c r="S284" s="363"/>
      <c r="T284" s="27"/>
      <c r="U284" s="27"/>
      <c r="V284" s="362"/>
      <c r="W284" s="27"/>
      <c r="X284" s="362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316"/>
      <c r="AQ284" s="8"/>
    </row>
    <row r="285" spans="1:43" ht="14.1" hidden="1" customHeight="1" x14ac:dyDescent="0.25">
      <c r="A285" s="1223"/>
      <c r="B285" s="1500"/>
      <c r="C285" s="1277"/>
      <c r="D285" s="1513"/>
      <c r="E285" s="1780"/>
      <c r="F285" s="1510"/>
      <c r="G285" s="359"/>
      <c r="H285" s="359"/>
      <c r="I285" s="942"/>
      <c r="J285" s="525"/>
      <c r="K285" s="119"/>
      <c r="L285" s="271"/>
      <c r="M285" s="363"/>
      <c r="N285" s="27"/>
      <c r="O285" s="361"/>
      <c r="P285" s="74"/>
      <c r="Q285" s="27"/>
      <c r="R285" s="551"/>
      <c r="S285" s="363"/>
      <c r="T285" s="27"/>
      <c r="U285" s="27"/>
      <c r="V285" s="362"/>
      <c r="W285" s="27"/>
      <c r="X285" s="362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316"/>
      <c r="AQ285" s="8"/>
    </row>
    <row r="286" spans="1:43" ht="41.1" hidden="1" customHeight="1" x14ac:dyDescent="0.25">
      <c r="A286" s="1223"/>
      <c r="B286" s="1500"/>
      <c r="C286" s="1277"/>
      <c r="D286" s="1513"/>
      <c r="E286" s="1780"/>
      <c r="F286" s="1510"/>
      <c r="G286" s="359"/>
      <c r="H286" s="359"/>
      <c r="I286" s="942"/>
      <c r="J286" s="525"/>
      <c r="K286" s="119"/>
      <c r="L286" s="271"/>
      <c r="M286" s="363"/>
      <c r="N286" s="27"/>
      <c r="O286" s="361"/>
      <c r="P286" s="74"/>
      <c r="Q286" s="27"/>
      <c r="R286" s="551"/>
      <c r="S286" s="363"/>
      <c r="T286" s="27"/>
      <c r="U286" s="27"/>
      <c r="V286" s="362"/>
      <c r="W286" s="27"/>
      <c r="X286" s="362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316"/>
      <c r="AQ286" s="8"/>
    </row>
    <row r="287" spans="1:43" ht="29.65" hidden="1" customHeight="1" x14ac:dyDescent="0.25">
      <c r="A287" s="1223"/>
      <c r="B287" s="1500"/>
      <c r="C287" s="1277"/>
      <c r="D287" s="1513"/>
      <c r="E287" s="1780"/>
      <c r="F287" s="1510"/>
      <c r="G287" s="359"/>
      <c r="H287" s="359"/>
      <c r="I287" s="942"/>
      <c r="J287" s="525"/>
      <c r="K287" s="119"/>
      <c r="L287" s="271"/>
      <c r="M287" s="363"/>
      <c r="N287" s="27"/>
      <c r="O287" s="361"/>
      <c r="P287" s="74"/>
      <c r="Q287" s="27"/>
      <c r="R287" s="551"/>
      <c r="S287" s="363"/>
      <c r="T287" s="27"/>
      <c r="U287" s="27"/>
      <c r="V287" s="362"/>
      <c r="W287" s="27"/>
      <c r="X287" s="362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316"/>
      <c r="AQ287" s="8"/>
    </row>
    <row r="288" spans="1:43" ht="43.7" hidden="1" customHeight="1" x14ac:dyDescent="0.25">
      <c r="A288" s="1223"/>
      <c r="B288" s="1500"/>
      <c r="C288" s="1277"/>
      <c r="D288" s="1513"/>
      <c r="E288" s="1780"/>
      <c r="F288" s="1510"/>
      <c r="G288" s="359"/>
      <c r="H288" s="359"/>
      <c r="I288" s="942"/>
      <c r="J288" s="525"/>
      <c r="K288" s="119"/>
      <c r="L288" s="271"/>
      <c r="M288" s="363"/>
      <c r="N288" s="27"/>
      <c r="O288" s="361"/>
      <c r="P288" s="74"/>
      <c r="Q288" s="27"/>
      <c r="R288" s="551"/>
      <c r="S288" s="363"/>
      <c r="T288" s="27"/>
      <c r="U288" s="27"/>
      <c r="V288" s="362"/>
      <c r="W288" s="27"/>
      <c r="X288" s="362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316"/>
      <c r="AQ288" s="8"/>
    </row>
    <row r="289" spans="1:43" ht="33.4" hidden="1" customHeight="1" x14ac:dyDescent="0.25">
      <c r="A289" s="1223"/>
      <c r="B289" s="1500"/>
      <c r="C289" s="1277"/>
      <c r="D289" s="1513"/>
      <c r="E289" s="1780"/>
      <c r="F289" s="1510"/>
      <c r="G289" s="359"/>
      <c r="H289" s="359"/>
      <c r="I289" s="942"/>
      <c r="J289" s="525"/>
      <c r="K289" s="119"/>
      <c r="L289" s="271"/>
      <c r="M289" s="363"/>
      <c r="N289" s="27"/>
      <c r="O289" s="361"/>
      <c r="P289" s="74"/>
      <c r="Q289" s="27"/>
      <c r="R289" s="551"/>
      <c r="S289" s="363"/>
      <c r="T289" s="27"/>
      <c r="U289" s="27"/>
      <c r="V289" s="362"/>
      <c r="W289" s="27"/>
      <c r="X289" s="362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316"/>
      <c r="AQ289" s="8"/>
    </row>
    <row r="290" spans="1:43" ht="18" hidden="1" customHeight="1" x14ac:dyDescent="0.25">
      <c r="A290" s="1223"/>
      <c r="B290" s="1500"/>
      <c r="C290" s="1277"/>
      <c r="D290" s="1513"/>
      <c r="E290" s="1780"/>
      <c r="F290" s="1510"/>
      <c r="G290" s="359"/>
      <c r="H290" s="359"/>
      <c r="I290" s="942"/>
      <c r="J290" s="525"/>
      <c r="K290" s="119"/>
      <c r="L290" s="271"/>
      <c r="M290" s="363"/>
      <c r="N290" s="27"/>
      <c r="O290" s="361"/>
      <c r="P290" s="74"/>
      <c r="Q290" s="27"/>
      <c r="R290" s="551"/>
      <c r="S290" s="363"/>
      <c r="T290" s="27"/>
      <c r="U290" s="27"/>
      <c r="V290" s="362"/>
      <c r="W290" s="27"/>
      <c r="X290" s="362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316"/>
      <c r="AQ290" s="8"/>
    </row>
    <row r="291" spans="1:43" ht="16.7" hidden="1" customHeight="1" x14ac:dyDescent="0.25">
      <c r="A291" s="1223"/>
      <c r="B291" s="1500"/>
      <c r="C291" s="1277"/>
      <c r="D291" s="1513"/>
      <c r="E291" s="1780"/>
      <c r="F291" s="1510"/>
      <c r="G291" s="359"/>
      <c r="H291" s="359"/>
      <c r="I291" s="942"/>
      <c r="J291" s="525"/>
      <c r="K291" s="119"/>
      <c r="L291" s="271"/>
      <c r="M291" s="363"/>
      <c r="N291" s="27"/>
      <c r="O291" s="361"/>
      <c r="P291" s="74"/>
      <c r="Q291" s="27"/>
      <c r="R291" s="551"/>
      <c r="S291" s="363"/>
      <c r="T291" s="27"/>
      <c r="U291" s="27"/>
      <c r="V291" s="362"/>
      <c r="W291" s="27"/>
      <c r="X291" s="362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316"/>
      <c r="AQ291" s="8"/>
    </row>
    <row r="292" spans="1:43" ht="14.85" hidden="1" customHeight="1" x14ac:dyDescent="0.25">
      <c r="A292" s="1223"/>
      <c r="B292" s="1500"/>
      <c r="C292" s="1277"/>
      <c r="D292" s="1513"/>
      <c r="E292" s="1780"/>
      <c r="F292" s="1510"/>
      <c r="G292" s="359"/>
      <c r="H292" s="359"/>
      <c r="I292" s="942"/>
      <c r="J292" s="525"/>
      <c r="K292" s="119"/>
      <c r="L292" s="271"/>
      <c r="M292" s="363"/>
      <c r="N292" s="27"/>
      <c r="O292" s="361"/>
      <c r="P292" s="74"/>
      <c r="Q292" s="27"/>
      <c r="R292" s="551"/>
      <c r="S292" s="363"/>
      <c r="T292" s="27"/>
      <c r="U292" s="27"/>
      <c r="V292" s="362"/>
      <c r="W292" s="27"/>
      <c r="X292" s="362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316"/>
      <c r="AQ292" s="8"/>
    </row>
    <row r="293" spans="1:43" ht="41.1" hidden="1" customHeight="1" x14ac:dyDescent="0.25">
      <c r="A293" s="1223"/>
      <c r="B293" s="1500"/>
      <c r="C293" s="1277"/>
      <c r="D293" s="1513"/>
      <c r="E293" s="1780"/>
      <c r="F293" s="1510"/>
      <c r="G293" s="359"/>
      <c r="H293" s="359"/>
      <c r="I293" s="942"/>
      <c r="J293" s="525"/>
      <c r="K293" s="119"/>
      <c r="L293" s="271"/>
      <c r="M293" s="363"/>
      <c r="N293" s="27"/>
      <c r="O293" s="361"/>
      <c r="P293" s="74"/>
      <c r="Q293" s="27"/>
      <c r="R293" s="551"/>
      <c r="S293" s="363"/>
      <c r="T293" s="27"/>
      <c r="U293" s="27"/>
      <c r="V293" s="362"/>
      <c r="W293" s="27"/>
      <c r="X293" s="362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316"/>
      <c r="AQ293" s="8"/>
    </row>
    <row r="294" spans="1:43" ht="15.4" hidden="1" customHeight="1" x14ac:dyDescent="0.25">
      <c r="A294" s="1223"/>
      <c r="B294" s="1500"/>
      <c r="C294" s="1277"/>
      <c r="D294" s="1513"/>
      <c r="E294" s="1780"/>
      <c r="F294" s="1510"/>
      <c r="G294" s="359"/>
      <c r="H294" s="359"/>
      <c r="I294" s="942"/>
      <c r="J294" s="525"/>
      <c r="K294" s="119"/>
      <c r="L294" s="271"/>
      <c r="M294" s="363"/>
      <c r="N294" s="27"/>
      <c r="O294" s="361"/>
      <c r="P294" s="74"/>
      <c r="Q294" s="27"/>
      <c r="R294" s="551"/>
      <c r="S294" s="363"/>
      <c r="T294" s="27"/>
      <c r="U294" s="27"/>
      <c r="V294" s="362"/>
      <c r="W294" s="27"/>
      <c r="X294" s="362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316"/>
      <c r="AQ294" s="8"/>
    </row>
    <row r="295" spans="1:43" ht="15.4" hidden="1" customHeight="1" x14ac:dyDescent="0.25">
      <c r="A295" s="1223"/>
      <c r="B295" s="1500"/>
      <c r="C295" s="1277"/>
      <c r="D295" s="1513"/>
      <c r="E295" s="1780"/>
      <c r="F295" s="1510"/>
      <c r="G295" s="359"/>
      <c r="H295" s="359"/>
      <c r="I295" s="942"/>
      <c r="J295" s="525"/>
      <c r="K295" s="119"/>
      <c r="L295" s="271"/>
      <c r="M295" s="363"/>
      <c r="N295" s="27"/>
      <c r="O295" s="361"/>
      <c r="P295" s="74"/>
      <c r="Q295" s="27"/>
      <c r="R295" s="551"/>
      <c r="S295" s="363"/>
      <c r="T295" s="27"/>
      <c r="U295" s="27"/>
      <c r="V295" s="362"/>
      <c r="W295" s="27"/>
      <c r="X295" s="362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316"/>
      <c r="AQ295" s="8"/>
    </row>
    <row r="296" spans="1:43" ht="43.7" hidden="1" customHeight="1" x14ac:dyDescent="0.25">
      <c r="A296" s="1223"/>
      <c r="B296" s="1500"/>
      <c r="C296" s="1277"/>
      <c r="D296" s="1513"/>
      <c r="E296" s="1780"/>
      <c r="F296" s="1510"/>
      <c r="G296" s="359"/>
      <c r="H296" s="359"/>
      <c r="I296" s="942"/>
      <c r="J296" s="525"/>
      <c r="K296" s="119"/>
      <c r="L296" s="271"/>
      <c r="M296" s="363"/>
      <c r="N296" s="27"/>
      <c r="O296" s="361"/>
      <c r="P296" s="74"/>
      <c r="Q296" s="27"/>
      <c r="R296" s="551"/>
      <c r="S296" s="363"/>
      <c r="T296" s="27"/>
      <c r="U296" s="27"/>
      <c r="V296" s="362"/>
      <c r="W296" s="27"/>
      <c r="X296" s="362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316"/>
      <c r="AQ296" s="8"/>
    </row>
    <row r="297" spans="1:43" ht="16.7" hidden="1" customHeight="1" x14ac:dyDescent="0.25">
      <c r="A297" s="1223"/>
      <c r="B297" s="1500"/>
      <c r="C297" s="1277"/>
      <c r="D297" s="1513"/>
      <c r="E297" s="1780"/>
      <c r="F297" s="1510"/>
      <c r="G297" s="359"/>
      <c r="H297" s="359"/>
      <c r="I297" s="942"/>
      <c r="J297" s="525"/>
      <c r="K297" s="119"/>
      <c r="L297" s="271"/>
      <c r="M297" s="363"/>
      <c r="N297" s="27"/>
      <c r="O297" s="361"/>
      <c r="P297" s="74"/>
      <c r="Q297" s="27"/>
      <c r="R297" s="551"/>
      <c r="S297" s="363"/>
      <c r="T297" s="27"/>
      <c r="U297" s="27"/>
      <c r="V297" s="362"/>
      <c r="W297" s="27"/>
      <c r="X297" s="362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316"/>
      <c r="AQ297" s="8"/>
    </row>
    <row r="298" spans="1:43" ht="28.9" hidden="1" customHeight="1" x14ac:dyDescent="0.25">
      <c r="A298" s="1223"/>
      <c r="B298" s="1500"/>
      <c r="C298" s="1277"/>
      <c r="D298" s="1513"/>
      <c r="E298" s="1780"/>
      <c r="F298" s="1510"/>
      <c r="G298" s="359"/>
      <c r="H298" s="359"/>
      <c r="I298" s="942"/>
      <c r="J298" s="525"/>
      <c r="K298" s="119"/>
      <c r="L298" s="271"/>
      <c r="M298" s="363"/>
      <c r="N298" s="27"/>
      <c r="O298" s="361"/>
      <c r="P298" s="74"/>
      <c r="Q298" s="27"/>
      <c r="R298" s="551"/>
      <c r="S298" s="363"/>
      <c r="T298" s="27"/>
      <c r="U298" s="27"/>
      <c r="V298" s="362"/>
      <c r="W298" s="27"/>
      <c r="X298" s="362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316"/>
      <c r="AQ298" s="8"/>
    </row>
    <row r="299" spans="1:43" ht="15.4" hidden="1" customHeight="1" x14ac:dyDescent="0.25">
      <c r="A299" s="1223"/>
      <c r="B299" s="1500"/>
      <c r="C299" s="1277"/>
      <c r="D299" s="1513"/>
      <c r="E299" s="1780"/>
      <c r="F299" s="1510"/>
      <c r="G299" s="359"/>
      <c r="H299" s="359"/>
      <c r="I299" s="942"/>
      <c r="J299" s="525"/>
      <c r="K299" s="119"/>
      <c r="L299" s="271"/>
      <c r="M299" s="363"/>
      <c r="N299" s="27"/>
      <c r="O299" s="361"/>
      <c r="P299" s="74"/>
      <c r="Q299" s="27"/>
      <c r="R299" s="551"/>
      <c r="S299" s="363"/>
      <c r="T299" s="27"/>
      <c r="U299" s="27"/>
      <c r="V299" s="362"/>
      <c r="W299" s="27"/>
      <c r="X299" s="362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316"/>
      <c r="AQ299" s="8"/>
    </row>
    <row r="300" spans="1:43" ht="18" hidden="1" customHeight="1" x14ac:dyDescent="0.25">
      <c r="A300" s="1223"/>
      <c r="B300" s="1500"/>
      <c r="C300" s="1277"/>
      <c r="D300" s="1513"/>
      <c r="E300" s="1780"/>
      <c r="F300" s="1510"/>
      <c r="G300" s="359"/>
      <c r="H300" s="359"/>
      <c r="I300" s="942"/>
      <c r="J300" s="525"/>
      <c r="K300" s="119"/>
      <c r="L300" s="271"/>
      <c r="M300" s="363"/>
      <c r="N300" s="27"/>
      <c r="O300" s="361"/>
      <c r="P300" s="74"/>
      <c r="Q300" s="27"/>
      <c r="R300" s="551"/>
      <c r="S300" s="363"/>
      <c r="T300" s="27"/>
      <c r="U300" s="27"/>
      <c r="V300" s="362"/>
      <c r="W300" s="27"/>
      <c r="X300" s="362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316"/>
      <c r="AQ300" s="8"/>
    </row>
    <row r="301" spans="1:43" ht="16.149999999999999" hidden="1" customHeight="1" x14ac:dyDescent="0.25">
      <c r="A301" s="1223"/>
      <c r="B301" s="1500"/>
      <c r="C301" s="1277"/>
      <c r="D301" s="1513"/>
      <c r="E301" s="1780"/>
      <c r="F301" s="1510"/>
      <c r="G301" s="359"/>
      <c r="H301" s="359"/>
      <c r="I301" s="942"/>
      <c r="J301" s="525"/>
      <c r="K301" s="119"/>
      <c r="L301" s="271"/>
      <c r="M301" s="363"/>
      <c r="N301" s="27"/>
      <c r="O301" s="361"/>
      <c r="P301" s="74"/>
      <c r="Q301" s="27"/>
      <c r="R301" s="551"/>
      <c r="S301" s="363"/>
      <c r="T301" s="27"/>
      <c r="U301" s="27"/>
      <c r="V301" s="362"/>
      <c r="W301" s="27"/>
      <c r="X301" s="362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316"/>
      <c r="AQ301" s="8"/>
    </row>
    <row r="302" spans="1:43" ht="16.149999999999999" hidden="1" customHeight="1" x14ac:dyDescent="0.25">
      <c r="A302" s="1223"/>
      <c r="B302" s="1500"/>
      <c r="C302" s="1277"/>
      <c r="D302" s="1513"/>
      <c r="E302" s="1780"/>
      <c r="F302" s="1510"/>
      <c r="G302" s="359"/>
      <c r="H302" s="359"/>
      <c r="I302" s="942"/>
      <c r="J302" s="525"/>
      <c r="K302" s="119"/>
      <c r="L302" s="271"/>
      <c r="M302" s="363"/>
      <c r="N302" s="27"/>
      <c r="O302" s="361"/>
      <c r="P302" s="74"/>
      <c r="Q302" s="27"/>
      <c r="R302" s="551"/>
      <c r="S302" s="363"/>
      <c r="T302" s="27"/>
      <c r="U302" s="27"/>
      <c r="V302" s="362"/>
      <c r="W302" s="27"/>
      <c r="X302" s="362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316"/>
      <c r="AQ302" s="8"/>
    </row>
    <row r="303" spans="1:43" ht="17.649999999999999" hidden="1" customHeight="1" x14ac:dyDescent="0.25">
      <c r="A303" s="1223"/>
      <c r="B303" s="1500"/>
      <c r="C303" s="1277"/>
      <c r="D303" s="1513"/>
      <c r="E303" s="1780"/>
      <c r="F303" s="1510"/>
      <c r="G303" s="367"/>
      <c r="H303" s="367"/>
      <c r="I303" s="481"/>
      <c r="J303" s="160"/>
      <c r="K303" s="1131"/>
      <c r="L303" s="572"/>
      <c r="M303" s="363"/>
      <c r="N303" s="27"/>
      <c r="O303" s="361"/>
      <c r="P303" s="74"/>
      <c r="Q303" s="27"/>
      <c r="R303" s="551"/>
      <c r="S303" s="363"/>
      <c r="T303" s="27"/>
      <c r="U303" s="27"/>
      <c r="V303" s="362"/>
      <c r="W303" s="27"/>
      <c r="X303" s="362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316"/>
      <c r="AQ303" s="8"/>
    </row>
    <row r="304" spans="1:43" ht="22.15" customHeight="1" x14ac:dyDescent="0.25">
      <c r="A304" s="1223"/>
      <c r="B304" s="1500"/>
      <c r="C304" s="1277"/>
      <c r="D304" s="1513"/>
      <c r="E304" s="1780"/>
      <c r="F304" s="1510"/>
      <c r="G304" s="1488" t="s">
        <v>1112</v>
      </c>
      <c r="H304" s="1166" t="s">
        <v>1113</v>
      </c>
      <c r="I304" s="1207" t="s">
        <v>7</v>
      </c>
      <c r="J304" s="1041">
        <v>5.2539999999999996</v>
      </c>
      <c r="K304" s="162" t="s">
        <v>2</v>
      </c>
      <c r="L304" s="1459">
        <v>66047.407200000001</v>
      </c>
      <c r="M304" s="178"/>
      <c r="N304" s="9"/>
      <c r="O304" s="65"/>
      <c r="P304" s="74"/>
      <c r="Q304" s="9"/>
      <c r="R304" s="534"/>
      <c r="S304" s="178"/>
      <c r="T304" s="9"/>
      <c r="U304" s="9"/>
      <c r="V304" s="74"/>
      <c r="W304" s="9"/>
      <c r="X304" s="74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316"/>
      <c r="AQ304" s="8"/>
    </row>
    <row r="305" spans="1:43" ht="16.5" thickBot="1" x14ac:dyDescent="0.3">
      <c r="A305" s="1223"/>
      <c r="B305" s="1500"/>
      <c r="C305" s="1277"/>
      <c r="D305" s="1513"/>
      <c r="E305" s="1780"/>
      <c r="F305" s="1510"/>
      <c r="G305" s="1489"/>
      <c r="H305" s="1168"/>
      <c r="I305" s="1469"/>
      <c r="J305" s="163">
        <v>37704</v>
      </c>
      <c r="K305" s="169" t="s">
        <v>3</v>
      </c>
      <c r="L305" s="1733"/>
      <c r="M305" s="178"/>
      <c r="N305" s="9"/>
      <c r="O305" s="65"/>
      <c r="P305" s="74"/>
      <c r="Q305" s="9"/>
      <c r="R305" s="534"/>
      <c r="S305" s="178"/>
      <c r="T305" s="9"/>
      <c r="U305" s="9"/>
      <c r="V305" s="74"/>
      <c r="W305" s="9"/>
      <c r="X305" s="74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316"/>
      <c r="AQ305" s="8"/>
    </row>
    <row r="306" spans="1:43" ht="21" customHeight="1" x14ac:dyDescent="0.25">
      <c r="A306" s="1223"/>
      <c r="B306" s="1500"/>
      <c r="C306" s="1277"/>
      <c r="D306" s="1513"/>
      <c r="E306" s="1780"/>
      <c r="F306" s="1510"/>
      <c r="G306" s="1083"/>
      <c r="H306" s="1083"/>
      <c r="I306" s="907"/>
      <c r="J306" s="1072"/>
      <c r="K306" s="21"/>
      <c r="L306" s="445"/>
      <c r="M306" s="1462" t="s">
        <v>1056</v>
      </c>
      <c r="N306" s="1739" t="s">
        <v>1167</v>
      </c>
      <c r="O306" s="1421" t="s">
        <v>7</v>
      </c>
      <c r="P306" s="929">
        <v>5.4</v>
      </c>
      <c r="Q306" s="182" t="s">
        <v>2</v>
      </c>
      <c r="R306" s="1461">
        <f>61850.8104-R308-R309</f>
        <v>61116.9424</v>
      </c>
      <c r="S306" s="178"/>
      <c r="T306" s="9"/>
      <c r="U306" s="9"/>
      <c r="V306" s="74"/>
      <c r="W306" s="9"/>
      <c r="X306" s="74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316"/>
      <c r="AQ306" s="8"/>
    </row>
    <row r="307" spans="1:43" ht="20.25" customHeight="1" x14ac:dyDescent="0.25">
      <c r="A307" s="1223"/>
      <c r="B307" s="1500"/>
      <c r="C307" s="1277"/>
      <c r="D307" s="1513"/>
      <c r="E307" s="1780"/>
      <c r="F307" s="1510"/>
      <c r="G307" s="966"/>
      <c r="H307" s="966"/>
      <c r="I307" s="877"/>
      <c r="J307" s="1014"/>
      <c r="K307" s="318"/>
      <c r="L307" s="1013"/>
      <c r="M307" s="1463"/>
      <c r="N307" s="1740"/>
      <c r="O307" s="1476"/>
      <c r="P307" s="1087">
        <v>40396</v>
      </c>
      <c r="Q307" s="564" t="s">
        <v>3</v>
      </c>
      <c r="R307" s="1388"/>
      <c r="S307" s="178"/>
      <c r="T307" s="9"/>
      <c r="U307" s="9"/>
      <c r="V307" s="74"/>
      <c r="W307" s="9"/>
      <c r="X307" s="74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316"/>
      <c r="AQ307" s="8"/>
    </row>
    <row r="308" spans="1:43" ht="19.899999999999999" customHeight="1" x14ac:dyDescent="0.25">
      <c r="A308" s="1223"/>
      <c r="B308" s="1254"/>
      <c r="C308" s="1243"/>
      <c r="D308" s="1422"/>
      <c r="E308" s="1781"/>
      <c r="F308" s="1511"/>
      <c r="G308" s="966"/>
      <c r="H308" s="966"/>
      <c r="I308" s="877"/>
      <c r="J308" s="1014"/>
      <c r="K308" s="318"/>
      <c r="L308" s="1013"/>
      <c r="M308" s="1463"/>
      <c r="N308" s="1740"/>
      <c r="O308" s="1053" t="s">
        <v>8</v>
      </c>
      <c r="P308" s="911">
        <v>18.042000000000002</v>
      </c>
      <c r="Q308" s="42" t="s">
        <v>2</v>
      </c>
      <c r="R308" s="923">
        <v>490.339</v>
      </c>
      <c r="S308" s="178"/>
      <c r="T308" s="9"/>
      <c r="U308" s="9"/>
      <c r="V308" s="74"/>
      <c r="W308" s="9"/>
      <c r="X308" s="74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316"/>
      <c r="AQ308" s="8"/>
    </row>
    <row r="309" spans="1:43" ht="35.25" customHeight="1" thickBot="1" x14ac:dyDescent="0.3">
      <c r="A309" s="1223"/>
      <c r="B309" s="1254"/>
      <c r="C309" s="1243"/>
      <c r="D309" s="1422"/>
      <c r="E309" s="1781"/>
      <c r="F309" s="1511"/>
      <c r="G309" s="967"/>
      <c r="H309" s="967"/>
      <c r="I309" s="880"/>
      <c r="J309" s="1071"/>
      <c r="K309" s="383"/>
      <c r="L309" s="573"/>
      <c r="M309" s="1464"/>
      <c r="N309" s="1741"/>
      <c r="O309" s="891" t="s">
        <v>32</v>
      </c>
      <c r="P309" s="943">
        <v>30</v>
      </c>
      <c r="Q309" s="177" t="s">
        <v>10</v>
      </c>
      <c r="R309" s="861">
        <v>243.529</v>
      </c>
      <c r="S309" s="178"/>
      <c r="T309" s="9"/>
      <c r="U309" s="9"/>
      <c r="V309" s="74"/>
      <c r="W309" s="9"/>
      <c r="X309" s="74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316"/>
      <c r="AQ309" s="8"/>
    </row>
    <row r="310" spans="1:43" ht="20.25" customHeight="1" x14ac:dyDescent="0.25">
      <c r="A310" s="1223"/>
      <c r="B310" s="1254"/>
      <c r="C310" s="1243"/>
      <c r="D310" s="1422"/>
      <c r="E310" s="1781"/>
      <c r="F310" s="1511"/>
      <c r="G310" s="966"/>
      <c r="H310" s="966"/>
      <c r="I310" s="877"/>
      <c r="J310" s="1014"/>
      <c r="K310" s="318"/>
      <c r="L310" s="1013"/>
      <c r="M310" s="1164" t="s">
        <v>1167</v>
      </c>
      <c r="N310" s="1162" t="s">
        <v>1221</v>
      </c>
      <c r="O310" s="1160" t="s">
        <v>7</v>
      </c>
      <c r="P310" s="929">
        <v>3.9169999999999998</v>
      </c>
      <c r="Q310" s="182" t="s">
        <v>2</v>
      </c>
      <c r="R310" s="1461">
        <f>61790.39224</f>
        <v>61790.392240000001</v>
      </c>
      <c r="S310" s="178"/>
      <c r="T310" s="9"/>
      <c r="U310" s="9"/>
      <c r="V310" s="74"/>
      <c r="W310" s="9"/>
      <c r="X310" s="74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316"/>
      <c r="AQ310" s="8"/>
    </row>
    <row r="311" spans="1:43" ht="20.25" customHeight="1" thickBot="1" x14ac:dyDescent="0.3">
      <c r="A311" s="1223"/>
      <c r="B311" s="1254"/>
      <c r="C311" s="1243"/>
      <c r="D311" s="1422"/>
      <c r="E311" s="1781"/>
      <c r="F311" s="1511"/>
      <c r="G311" s="966"/>
      <c r="H311" s="966"/>
      <c r="I311" s="877"/>
      <c r="J311" s="1014"/>
      <c r="K311" s="318"/>
      <c r="L311" s="1013"/>
      <c r="M311" s="1412"/>
      <c r="N311" s="1411"/>
      <c r="O311" s="1992"/>
      <c r="P311" s="1087">
        <v>27751.97</v>
      </c>
      <c r="Q311" s="647" t="s">
        <v>3</v>
      </c>
      <c r="R311" s="1388"/>
      <c r="S311" s="233"/>
      <c r="T311" s="1045"/>
      <c r="U311" s="1045"/>
      <c r="V311" s="234"/>
      <c r="W311" s="1045"/>
      <c r="X311" s="234"/>
      <c r="Y311" s="117"/>
      <c r="Z311" s="117"/>
      <c r="AA311" s="117"/>
      <c r="AB311" s="117"/>
      <c r="AC311" s="117"/>
      <c r="AD311" s="117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316"/>
      <c r="AQ311" s="8"/>
    </row>
    <row r="312" spans="1:43" ht="36" customHeight="1" x14ac:dyDescent="0.25">
      <c r="A312" s="1223"/>
      <c r="B312" s="1254"/>
      <c r="C312" s="1243"/>
      <c r="D312" s="1422"/>
      <c r="E312" s="1781"/>
      <c r="F312" s="1511"/>
      <c r="G312" s="966"/>
      <c r="H312" s="966"/>
      <c r="I312" s="877"/>
      <c r="J312" s="1014"/>
      <c r="K312" s="318"/>
      <c r="L312" s="847"/>
      <c r="M312" s="854"/>
      <c r="N312" s="855"/>
      <c r="O312" s="691"/>
      <c r="P312" s="929"/>
      <c r="Q312" s="182"/>
      <c r="R312" s="703"/>
      <c r="S312" s="1403" t="s">
        <v>1278</v>
      </c>
      <c r="T312" s="1162" t="s">
        <v>1279</v>
      </c>
      <c r="U312" s="1160" t="s">
        <v>7</v>
      </c>
      <c r="V312" s="929"/>
      <c r="W312" s="182" t="s">
        <v>2</v>
      </c>
      <c r="X312" s="1461">
        <v>54825</v>
      </c>
      <c r="Y312" s="1164" t="s">
        <v>1278</v>
      </c>
      <c r="Z312" s="1162" t="s">
        <v>1112</v>
      </c>
      <c r="AA312" s="1160" t="s">
        <v>7</v>
      </c>
      <c r="AB312" s="929">
        <f>85-84.5+84.3-74.103</f>
        <v>10.697000000000003</v>
      </c>
      <c r="AC312" s="881" t="s">
        <v>2</v>
      </c>
      <c r="AD312" s="1461">
        <v>73451.104240000001</v>
      </c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316"/>
      <c r="AQ312" s="1158" t="s">
        <v>1280</v>
      </c>
    </row>
    <row r="313" spans="1:43" ht="36" customHeight="1" thickBot="1" x14ac:dyDescent="0.3">
      <c r="A313" s="1224"/>
      <c r="B313" s="1255"/>
      <c r="C313" s="1278"/>
      <c r="D313" s="1337"/>
      <c r="E313" s="1782"/>
      <c r="F313" s="1512"/>
      <c r="G313" s="987"/>
      <c r="H313" s="987"/>
      <c r="I313" s="891"/>
      <c r="J313" s="163"/>
      <c r="K313" s="169"/>
      <c r="L313" s="848"/>
      <c r="M313" s="856"/>
      <c r="N313" s="857"/>
      <c r="O313" s="659"/>
      <c r="P313" s="943"/>
      <c r="Q313" s="177"/>
      <c r="R313" s="704"/>
      <c r="S313" s="1404"/>
      <c r="T313" s="1163"/>
      <c r="U313" s="1161"/>
      <c r="V313" s="943"/>
      <c r="W313" s="173" t="s">
        <v>3</v>
      </c>
      <c r="X313" s="1283"/>
      <c r="Y313" s="1165"/>
      <c r="Z313" s="1163"/>
      <c r="AA313" s="1161"/>
      <c r="AB313" s="943">
        <v>79749</v>
      </c>
      <c r="AC313" s="909" t="s">
        <v>3</v>
      </c>
      <c r="AD313" s="1283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316"/>
      <c r="AQ313" s="1159"/>
    </row>
    <row r="314" spans="1:43" s="569" customFormat="1" ht="23.85" customHeight="1" x14ac:dyDescent="0.25">
      <c r="A314" s="1227">
        <v>5</v>
      </c>
      <c r="B314" s="1253">
        <v>1960347</v>
      </c>
      <c r="C314" s="1256" t="s">
        <v>141</v>
      </c>
      <c r="D314" s="1336" t="s">
        <v>40</v>
      </c>
      <c r="E314" s="1744">
        <f>35.04+5.655</f>
        <v>40.695</v>
      </c>
      <c r="F314" s="1480">
        <f>246478+32447</f>
        <v>278925</v>
      </c>
      <c r="G314" s="1423" t="s">
        <v>1057</v>
      </c>
      <c r="H314" s="1423" t="s">
        <v>1058</v>
      </c>
      <c r="I314" s="1421" t="s">
        <v>7</v>
      </c>
      <c r="J314" s="1041">
        <v>13.395</v>
      </c>
      <c r="K314" s="162" t="s">
        <v>2</v>
      </c>
      <c r="L314" s="1483">
        <f>49121.519-L316</f>
        <v>48937.463000000003</v>
      </c>
      <c r="M314" s="849"/>
      <c r="N314" s="658"/>
      <c r="O314" s="850"/>
      <c r="P314" s="851"/>
      <c r="Q314" s="658"/>
      <c r="R314" s="852"/>
      <c r="S314" s="853"/>
      <c r="T314" s="1046"/>
      <c r="U314" s="1046"/>
      <c r="V314" s="232"/>
      <c r="W314" s="1046"/>
      <c r="X314" s="232"/>
      <c r="Y314" s="319"/>
      <c r="Z314" s="319"/>
      <c r="AA314" s="319"/>
      <c r="AB314" s="319"/>
      <c r="AC314" s="319"/>
      <c r="AD314" s="319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316"/>
      <c r="AQ314" s="8"/>
    </row>
    <row r="315" spans="1:43" ht="16.149999999999999" customHeight="1" x14ac:dyDescent="0.25">
      <c r="A315" s="1223"/>
      <c r="B315" s="1254"/>
      <c r="C315" s="1243"/>
      <c r="D315" s="1422"/>
      <c r="E315" s="1745"/>
      <c r="F315" s="1481"/>
      <c r="G315" s="1424"/>
      <c r="H315" s="1424"/>
      <c r="I315" s="1226"/>
      <c r="J315" s="1072">
        <v>80950.5</v>
      </c>
      <c r="K315" s="21" t="s">
        <v>3</v>
      </c>
      <c r="L315" s="1296"/>
      <c r="M315" s="178"/>
      <c r="N315" s="9"/>
      <c r="O315" s="65"/>
      <c r="P315" s="74"/>
      <c r="Q315" s="9"/>
      <c r="R315" s="548"/>
      <c r="S315" s="1046"/>
      <c r="T315" s="1046"/>
      <c r="U315" s="1046"/>
      <c r="V315" s="232"/>
      <c r="W315" s="1046"/>
      <c r="X315" s="232"/>
      <c r="Y315" s="319"/>
      <c r="Z315" s="319"/>
      <c r="AA315" s="319"/>
      <c r="AB315" s="319"/>
      <c r="AC315" s="319"/>
      <c r="AD315" s="319"/>
      <c r="AE315" s="319"/>
      <c r="AF315" s="319"/>
      <c r="AG315" s="319"/>
      <c r="AH315" s="319"/>
      <c r="AI315" s="319"/>
      <c r="AJ315" s="319"/>
      <c r="AK315" s="319"/>
      <c r="AL315" s="319"/>
      <c r="AM315" s="319"/>
      <c r="AN315" s="319"/>
      <c r="AO315" s="319"/>
      <c r="AP315" s="320"/>
      <c r="AQ315" s="63"/>
    </row>
    <row r="316" spans="1:43" ht="16.149999999999999" customHeight="1" thickBot="1" x14ac:dyDescent="0.3">
      <c r="A316" s="1224"/>
      <c r="B316" s="1255"/>
      <c r="C316" s="1278"/>
      <c r="D316" s="1337"/>
      <c r="E316" s="1746"/>
      <c r="F316" s="1482"/>
      <c r="G316" s="1425"/>
      <c r="H316" s="1425"/>
      <c r="I316" s="1113" t="s">
        <v>8</v>
      </c>
      <c r="J316" s="595">
        <v>13.244</v>
      </c>
      <c r="K316" s="596" t="s">
        <v>2</v>
      </c>
      <c r="L316" s="1017">
        <v>184.05600000000001</v>
      </c>
      <c r="M316" s="178"/>
      <c r="N316" s="9"/>
      <c r="O316" s="65"/>
      <c r="P316" s="74"/>
      <c r="Q316" s="9"/>
      <c r="R316" s="548"/>
      <c r="S316" s="9"/>
      <c r="T316" s="9"/>
      <c r="U316" s="9"/>
      <c r="V316" s="74"/>
      <c r="W316" s="9"/>
      <c r="X316" s="74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316"/>
      <c r="AQ316" s="8"/>
    </row>
    <row r="317" spans="1:43" ht="15.4" hidden="1" customHeight="1" x14ac:dyDescent="0.25">
      <c r="A317" s="157">
        <f>A314+1</f>
        <v>6</v>
      </c>
      <c r="B317" s="893"/>
      <c r="C317" s="996" t="s">
        <v>896</v>
      </c>
      <c r="D317" s="936" t="s">
        <v>164</v>
      </c>
      <c r="E317" s="991">
        <v>10.26</v>
      </c>
      <c r="F317" s="1037">
        <v>77018</v>
      </c>
      <c r="G317" s="369"/>
      <c r="H317" s="369"/>
      <c r="I317" s="360"/>
      <c r="J317" s="154"/>
      <c r="K317" s="898"/>
      <c r="L317" s="154"/>
      <c r="M317" s="27"/>
      <c r="N317" s="27"/>
      <c r="O317" s="361"/>
      <c r="P317" s="74"/>
      <c r="Q317" s="27"/>
      <c r="R317" s="1062"/>
      <c r="S317" s="9"/>
      <c r="T317" s="9"/>
      <c r="U317" s="9"/>
      <c r="V317" s="74"/>
      <c r="W317" s="9"/>
      <c r="X317" s="74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316"/>
      <c r="AQ317" s="8"/>
    </row>
    <row r="318" spans="1:43" ht="19.350000000000001" hidden="1" customHeight="1" x14ac:dyDescent="0.25">
      <c r="A318" s="60">
        <v>11</v>
      </c>
      <c r="B318" s="963">
        <v>1960082</v>
      </c>
      <c r="C318" s="989" t="s">
        <v>142</v>
      </c>
      <c r="D318" s="936" t="s">
        <v>165</v>
      </c>
      <c r="E318" s="1068">
        <v>1.0449999999999999</v>
      </c>
      <c r="F318" s="1039">
        <v>9080</v>
      </c>
      <c r="G318" s="359"/>
      <c r="H318" s="359"/>
      <c r="I318" s="360"/>
      <c r="J318" s="525"/>
      <c r="K318" s="898"/>
      <c r="L318" s="525"/>
      <c r="M318" s="1428" t="s">
        <v>1027</v>
      </c>
      <c r="N318" s="1428" t="s">
        <v>1028</v>
      </c>
      <c r="O318" s="1731" t="s">
        <v>30</v>
      </c>
      <c r="P318" s="145"/>
      <c r="Q318" s="365" t="s">
        <v>2</v>
      </c>
      <c r="R318" s="1285"/>
      <c r="S318" s="1320"/>
      <c r="T318" s="1320"/>
      <c r="U318" s="1320"/>
      <c r="V318" s="145"/>
      <c r="W318" s="318"/>
      <c r="X318" s="1284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316"/>
      <c r="AQ318" s="8"/>
    </row>
    <row r="319" spans="1:43" ht="19.350000000000001" hidden="1" customHeight="1" x14ac:dyDescent="0.25">
      <c r="A319" s="60"/>
      <c r="B319" s="963"/>
      <c r="C319" s="989"/>
      <c r="D319" s="936"/>
      <c r="E319" s="1068"/>
      <c r="F319" s="1039"/>
      <c r="G319" s="359"/>
      <c r="H319" s="359"/>
      <c r="I319" s="360"/>
      <c r="J319" s="525"/>
      <c r="K319" s="898"/>
      <c r="L319" s="525"/>
      <c r="M319" s="1428"/>
      <c r="N319" s="1428"/>
      <c r="O319" s="1731"/>
      <c r="P319" s="145"/>
      <c r="Q319" s="365" t="s">
        <v>3</v>
      </c>
      <c r="R319" s="1285"/>
      <c r="S319" s="1320"/>
      <c r="T319" s="1320"/>
      <c r="U319" s="1320"/>
      <c r="V319" s="145"/>
      <c r="W319" s="318"/>
      <c r="X319" s="1284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316"/>
      <c r="AQ319" s="8"/>
    </row>
    <row r="320" spans="1:43" ht="16.149999999999999" hidden="1" customHeight="1" x14ac:dyDescent="0.25">
      <c r="A320" s="60">
        <f>A318+1</f>
        <v>12</v>
      </c>
      <c r="B320" s="963"/>
      <c r="C320" s="989" t="s">
        <v>143</v>
      </c>
      <c r="D320" s="936" t="s">
        <v>166</v>
      </c>
      <c r="E320" s="1068">
        <v>2</v>
      </c>
      <c r="F320" s="1039">
        <v>17568</v>
      </c>
      <c r="G320" s="359"/>
      <c r="H320" s="359"/>
      <c r="I320" s="360"/>
      <c r="J320" s="525"/>
      <c r="K320" s="898"/>
      <c r="L320" s="525"/>
      <c r="M320" s="27"/>
      <c r="N320" s="27"/>
      <c r="O320" s="361"/>
      <c r="P320" s="74"/>
      <c r="Q320" s="27"/>
      <c r="R320" s="1062"/>
      <c r="S320" s="9"/>
      <c r="T320" s="9"/>
      <c r="U320" s="9"/>
      <c r="V320" s="74"/>
      <c r="W320" s="9"/>
      <c r="X320" s="74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316"/>
      <c r="AQ320" s="8"/>
    </row>
    <row r="321" spans="1:43" ht="28.35" hidden="1" customHeight="1" x14ac:dyDescent="0.25">
      <c r="A321" s="60">
        <f t="shared" ref="A321:A376" si="2">A320+1</f>
        <v>13</v>
      </c>
      <c r="B321" s="963"/>
      <c r="C321" s="989" t="s">
        <v>897</v>
      </c>
      <c r="D321" s="936" t="s">
        <v>167</v>
      </c>
      <c r="E321" s="1068">
        <v>5.7839999999999998</v>
      </c>
      <c r="F321" s="1039">
        <v>40538</v>
      </c>
      <c r="G321" s="359"/>
      <c r="H321" s="359"/>
      <c r="I321" s="360"/>
      <c r="J321" s="525"/>
      <c r="K321" s="898"/>
      <c r="L321" s="525"/>
      <c r="M321" s="27"/>
      <c r="N321" s="27"/>
      <c r="O321" s="361"/>
      <c r="P321" s="74"/>
      <c r="Q321" s="27"/>
      <c r="R321" s="1062"/>
      <c r="S321" s="9"/>
      <c r="T321" s="9"/>
      <c r="U321" s="9"/>
      <c r="V321" s="74"/>
      <c r="W321" s="9"/>
      <c r="X321" s="74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316"/>
      <c r="AQ321" s="8"/>
    </row>
    <row r="322" spans="1:43" ht="30.2" hidden="1" customHeight="1" x14ac:dyDescent="0.25">
      <c r="A322" s="60">
        <f t="shared" si="2"/>
        <v>14</v>
      </c>
      <c r="B322" s="963"/>
      <c r="C322" s="989" t="s">
        <v>899</v>
      </c>
      <c r="D322" s="936" t="s">
        <v>168</v>
      </c>
      <c r="E322" s="1068">
        <v>5.2</v>
      </c>
      <c r="F322" s="1039">
        <v>31460</v>
      </c>
      <c r="G322" s="359"/>
      <c r="H322" s="359"/>
      <c r="I322" s="360"/>
      <c r="J322" s="525"/>
      <c r="K322" s="898"/>
      <c r="L322" s="525"/>
      <c r="M322" s="27"/>
      <c r="N322" s="27"/>
      <c r="O322" s="361"/>
      <c r="P322" s="74"/>
      <c r="Q322" s="27"/>
      <c r="R322" s="1062"/>
      <c r="S322" s="9"/>
      <c r="T322" s="9"/>
      <c r="U322" s="9"/>
      <c r="V322" s="74"/>
      <c r="W322" s="9"/>
      <c r="X322" s="74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316"/>
      <c r="AQ322" s="8"/>
    </row>
    <row r="323" spans="1:43" ht="16.149999999999999" hidden="1" customHeight="1" x14ac:dyDescent="0.25">
      <c r="A323" s="60">
        <f t="shared" si="2"/>
        <v>15</v>
      </c>
      <c r="B323" s="963"/>
      <c r="C323" s="989" t="s">
        <v>144</v>
      </c>
      <c r="D323" s="936" t="s">
        <v>169</v>
      </c>
      <c r="E323" s="1068">
        <v>3.1869999999999998</v>
      </c>
      <c r="F323" s="1039">
        <v>27737</v>
      </c>
      <c r="G323" s="359"/>
      <c r="H323" s="359"/>
      <c r="I323" s="360"/>
      <c r="J323" s="525"/>
      <c r="K323" s="898"/>
      <c r="L323" s="525"/>
      <c r="M323" s="27"/>
      <c r="N323" s="27"/>
      <c r="O323" s="361"/>
      <c r="P323" s="74"/>
      <c r="Q323" s="27"/>
      <c r="R323" s="1062"/>
      <c r="S323" s="9"/>
      <c r="T323" s="9"/>
      <c r="U323" s="9"/>
      <c r="V323" s="74"/>
      <c r="W323" s="9"/>
      <c r="X323" s="74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316"/>
      <c r="AQ323" s="8"/>
    </row>
    <row r="324" spans="1:43" ht="17.649999999999999" hidden="1" customHeight="1" x14ac:dyDescent="0.25">
      <c r="A324" s="60">
        <f t="shared" si="2"/>
        <v>16</v>
      </c>
      <c r="B324" s="963"/>
      <c r="C324" s="989" t="s">
        <v>145</v>
      </c>
      <c r="D324" s="936" t="s">
        <v>170</v>
      </c>
      <c r="E324" s="1068">
        <v>3.73</v>
      </c>
      <c r="F324" s="1039">
        <v>21634</v>
      </c>
      <c r="G324" s="359"/>
      <c r="H324" s="359"/>
      <c r="I324" s="360"/>
      <c r="J324" s="525"/>
      <c r="K324" s="898"/>
      <c r="L324" s="525"/>
      <c r="M324" s="27"/>
      <c r="N324" s="27"/>
      <c r="O324" s="361"/>
      <c r="P324" s="74"/>
      <c r="Q324" s="27"/>
      <c r="R324" s="1062"/>
      <c r="S324" s="9"/>
      <c r="T324" s="9"/>
      <c r="U324" s="9"/>
      <c r="V324" s="74"/>
      <c r="W324" s="9"/>
      <c r="X324" s="74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316"/>
      <c r="AQ324" s="8"/>
    </row>
    <row r="325" spans="1:43" ht="18" hidden="1" customHeight="1" thickBot="1" x14ac:dyDescent="0.3">
      <c r="A325" s="159">
        <f t="shared" si="2"/>
        <v>17</v>
      </c>
      <c r="B325" s="892"/>
      <c r="C325" s="1004" t="s">
        <v>898</v>
      </c>
      <c r="D325" s="998" t="s">
        <v>171</v>
      </c>
      <c r="E325" s="1040">
        <v>4</v>
      </c>
      <c r="F325" s="1036">
        <v>26953</v>
      </c>
      <c r="G325" s="367"/>
      <c r="H325" s="367"/>
      <c r="I325" s="368"/>
      <c r="J325" s="160"/>
      <c r="K325" s="885"/>
      <c r="L325" s="160"/>
      <c r="M325" s="27"/>
      <c r="N325" s="27"/>
      <c r="O325" s="361"/>
      <c r="P325" s="74"/>
      <c r="Q325" s="27"/>
      <c r="R325" s="546"/>
      <c r="S325" s="178"/>
      <c r="T325" s="9"/>
      <c r="U325" s="9"/>
      <c r="V325" s="74"/>
      <c r="W325" s="9"/>
      <c r="X325" s="74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316"/>
      <c r="AQ325" s="8"/>
    </row>
    <row r="326" spans="1:43" s="23" customFormat="1" ht="17.649999999999999" customHeight="1" x14ac:dyDescent="0.25">
      <c r="A326" s="1371">
        <v>6</v>
      </c>
      <c r="B326" s="1289">
        <v>1960399</v>
      </c>
      <c r="C326" s="1193" t="s">
        <v>146</v>
      </c>
      <c r="D326" s="1470" t="s">
        <v>172</v>
      </c>
      <c r="E326" s="1474">
        <v>4.5640000000000001</v>
      </c>
      <c r="F326" s="1495">
        <v>35957</v>
      </c>
      <c r="G326" s="1386" t="s">
        <v>1048</v>
      </c>
      <c r="H326" s="1386" t="s">
        <v>1059</v>
      </c>
      <c r="I326" s="1493" t="s">
        <v>30</v>
      </c>
      <c r="J326" s="1041">
        <v>0.56691000000000003</v>
      </c>
      <c r="K326" s="162" t="s">
        <v>2</v>
      </c>
      <c r="L326" s="1295">
        <v>28768.344000000001</v>
      </c>
      <c r="M326" s="178"/>
      <c r="N326" s="9"/>
      <c r="O326" s="65"/>
      <c r="P326" s="74"/>
      <c r="Q326" s="9"/>
      <c r="R326" s="548"/>
      <c r="S326" s="9"/>
      <c r="T326" s="9"/>
      <c r="U326" s="9"/>
      <c r="V326" s="74"/>
      <c r="W326" s="9"/>
      <c r="X326" s="74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337"/>
      <c r="AQ326" s="1158" t="s">
        <v>1199</v>
      </c>
    </row>
    <row r="327" spans="1:43" s="23" customFormat="1" ht="19.899999999999999" customHeight="1" x14ac:dyDescent="0.25">
      <c r="A327" s="1372"/>
      <c r="B327" s="1328"/>
      <c r="C327" s="1304"/>
      <c r="D327" s="1363"/>
      <c r="E327" s="1535"/>
      <c r="F327" s="1496"/>
      <c r="G327" s="1683"/>
      <c r="H327" s="1683"/>
      <c r="I327" s="1494"/>
      <c r="J327" s="1014">
        <v>5254</v>
      </c>
      <c r="K327" s="21" t="s">
        <v>3</v>
      </c>
      <c r="L327" s="1296"/>
      <c r="M327" s="178"/>
      <c r="N327" s="9"/>
      <c r="O327" s="65"/>
      <c r="P327" s="74"/>
      <c r="Q327" s="9"/>
      <c r="R327" s="548"/>
      <c r="S327" s="9"/>
      <c r="T327" s="9"/>
      <c r="U327" s="9"/>
      <c r="V327" s="74"/>
      <c r="W327" s="9"/>
      <c r="X327" s="74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337"/>
      <c r="AQ327" s="1441"/>
    </row>
    <row r="328" spans="1:43" s="23" customFormat="1" ht="35.65" customHeight="1" thickBot="1" x14ac:dyDescent="0.3">
      <c r="A328" s="1372"/>
      <c r="B328" s="1328"/>
      <c r="C328" s="1304"/>
      <c r="D328" s="1363"/>
      <c r="E328" s="1535"/>
      <c r="F328" s="1496"/>
      <c r="G328" s="1387"/>
      <c r="H328" s="1387"/>
      <c r="I328" s="932" t="s">
        <v>9</v>
      </c>
      <c r="J328" s="381">
        <v>1</v>
      </c>
      <c r="K328" s="890" t="s">
        <v>10</v>
      </c>
      <c r="L328" s="1297"/>
      <c r="M328" s="178"/>
      <c r="N328" s="9"/>
      <c r="O328" s="65"/>
      <c r="P328" s="74"/>
      <c r="Q328" s="9"/>
      <c r="R328" s="548"/>
      <c r="S328" s="9"/>
      <c r="T328" s="9"/>
      <c r="U328" s="9"/>
      <c r="V328" s="74"/>
      <c r="W328" s="9"/>
      <c r="X328" s="74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337"/>
      <c r="AQ328" s="1159"/>
    </row>
    <row r="329" spans="1:43" s="23" customFormat="1" ht="19.899999999999999" customHeight="1" x14ac:dyDescent="0.25">
      <c r="A329" s="1372"/>
      <c r="B329" s="1328"/>
      <c r="C329" s="1304"/>
      <c r="D329" s="1363"/>
      <c r="E329" s="1535"/>
      <c r="F329" s="1496"/>
      <c r="G329" s="1477" t="s">
        <v>1070</v>
      </c>
      <c r="H329" s="1198" t="s">
        <v>1096</v>
      </c>
      <c r="I329" s="1190" t="s">
        <v>7</v>
      </c>
      <c r="J329" s="1041">
        <v>4.5640000000000001</v>
      </c>
      <c r="K329" s="162" t="s">
        <v>2</v>
      </c>
      <c r="L329" s="1419">
        <f>51956.077-12769.339+12769.339+26892.96009+0.00091-L331-12769.339</f>
        <v>65608.358999999997</v>
      </c>
      <c r="M329" s="178"/>
      <c r="N329" s="9"/>
      <c r="O329" s="65"/>
      <c r="P329" s="74"/>
      <c r="Q329" s="9"/>
      <c r="R329" s="548"/>
      <c r="S329" s="9"/>
      <c r="T329" s="9"/>
      <c r="U329" s="9"/>
      <c r="V329" s="74"/>
      <c r="W329" s="9"/>
      <c r="X329" s="74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337"/>
      <c r="AQ329" s="22"/>
    </row>
    <row r="330" spans="1:43" s="23" customFormat="1" ht="19.899999999999999" customHeight="1" x14ac:dyDescent="0.25">
      <c r="A330" s="1372"/>
      <c r="B330" s="1328"/>
      <c r="C330" s="1304"/>
      <c r="D330" s="1363"/>
      <c r="E330" s="1535"/>
      <c r="F330" s="1496"/>
      <c r="G330" s="1478"/>
      <c r="H330" s="1199"/>
      <c r="I330" s="1226"/>
      <c r="J330" s="1014">
        <v>27848.25</v>
      </c>
      <c r="K330" s="21" t="s">
        <v>3</v>
      </c>
      <c r="L330" s="1420"/>
      <c r="M330" s="178"/>
      <c r="N330" s="9"/>
      <c r="O330" s="65"/>
      <c r="P330" s="74"/>
      <c r="Q330" s="9"/>
      <c r="R330" s="548"/>
      <c r="S330" s="9"/>
      <c r="T330" s="9"/>
      <c r="U330" s="9"/>
      <c r="V330" s="74"/>
      <c r="W330" s="9"/>
      <c r="X330" s="74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337"/>
      <c r="AQ330" s="22"/>
    </row>
    <row r="331" spans="1:43" s="23" customFormat="1" ht="25.15" customHeight="1" thickBot="1" x14ac:dyDescent="0.3">
      <c r="A331" s="1684"/>
      <c r="B331" s="1368"/>
      <c r="C331" s="1257"/>
      <c r="D331" s="1471"/>
      <c r="E331" s="1533"/>
      <c r="F331" s="1497"/>
      <c r="G331" s="1479"/>
      <c r="H331" s="1200"/>
      <c r="I331" s="1113" t="s">
        <v>8</v>
      </c>
      <c r="J331" s="1098">
        <v>14.15</v>
      </c>
      <c r="K331" s="158" t="s">
        <v>2</v>
      </c>
      <c r="L331" s="289">
        <v>471.34</v>
      </c>
      <c r="M331" s="178"/>
      <c r="N331" s="9"/>
      <c r="O331" s="65"/>
      <c r="P331" s="74"/>
      <c r="Q331" s="9"/>
      <c r="R331" s="548"/>
      <c r="S331" s="9"/>
      <c r="T331" s="9"/>
      <c r="U331" s="9"/>
      <c r="V331" s="74"/>
      <c r="W331" s="9"/>
      <c r="X331" s="74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337"/>
      <c r="AQ331" s="22"/>
    </row>
    <row r="332" spans="1:43" s="23" customFormat="1" ht="42.4" hidden="1" customHeight="1" x14ac:dyDescent="0.25">
      <c r="A332" s="11"/>
      <c r="B332" s="887"/>
      <c r="C332" s="989"/>
      <c r="D332" s="1038"/>
      <c r="E332" s="1068"/>
      <c r="F332" s="1039"/>
      <c r="G332" s="1507" t="s">
        <v>1070</v>
      </c>
      <c r="H332" s="1507" t="s">
        <v>1123</v>
      </c>
      <c r="I332" s="1851" t="s">
        <v>1124</v>
      </c>
      <c r="J332" s="154"/>
      <c r="K332" s="21" t="s">
        <v>2</v>
      </c>
      <c r="L332" s="1734"/>
      <c r="M332" s="9"/>
      <c r="N332" s="9"/>
      <c r="O332" s="65"/>
      <c r="P332" s="74"/>
      <c r="Q332" s="9"/>
      <c r="R332" s="548"/>
      <c r="S332" s="9"/>
      <c r="T332" s="9"/>
      <c r="U332" s="9"/>
      <c r="V332" s="74"/>
      <c r="W332" s="9"/>
      <c r="X332" s="74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337"/>
      <c r="AQ332" s="22"/>
    </row>
    <row r="333" spans="1:43" s="23" customFormat="1" ht="37.9" hidden="1" customHeight="1" x14ac:dyDescent="0.25">
      <c r="A333" s="156"/>
      <c r="B333" s="899"/>
      <c r="C333" s="1004"/>
      <c r="D333" s="1043"/>
      <c r="E333" s="1040"/>
      <c r="F333" s="1036"/>
      <c r="G333" s="1507"/>
      <c r="H333" s="1507"/>
      <c r="I333" s="1851"/>
      <c r="J333" s="1018"/>
      <c r="K333" s="164" t="s">
        <v>3</v>
      </c>
      <c r="L333" s="1734"/>
      <c r="M333" s="9"/>
      <c r="N333" s="9"/>
      <c r="O333" s="65"/>
      <c r="P333" s="74"/>
      <c r="Q333" s="9"/>
      <c r="R333" s="548"/>
      <c r="S333" s="9"/>
      <c r="T333" s="9"/>
      <c r="U333" s="9"/>
      <c r="V333" s="74"/>
      <c r="W333" s="9"/>
      <c r="X333" s="74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337"/>
      <c r="AQ333" s="22"/>
    </row>
    <row r="334" spans="1:43" ht="23.85" customHeight="1" x14ac:dyDescent="0.25">
      <c r="A334" s="1235">
        <v>7</v>
      </c>
      <c r="B334" s="1289">
        <v>1960285</v>
      </c>
      <c r="C334" s="1193" t="s">
        <v>1106</v>
      </c>
      <c r="D334" s="1289" t="s">
        <v>173</v>
      </c>
      <c r="E334" s="1484">
        <v>4.8</v>
      </c>
      <c r="F334" s="1426">
        <v>35194</v>
      </c>
      <c r="G334" s="1303" t="s">
        <v>1031</v>
      </c>
      <c r="H334" s="1303" t="s">
        <v>1196</v>
      </c>
      <c r="I334" s="1190" t="s">
        <v>7</v>
      </c>
      <c r="J334" s="181">
        <f>4.8-0.12</f>
        <v>4.68</v>
      </c>
      <c r="K334" s="182" t="s">
        <v>2</v>
      </c>
      <c r="L334" s="1295">
        <v>66214.183000000005</v>
      </c>
      <c r="M334" s="178"/>
      <c r="N334" s="382"/>
      <c r="O334" s="65"/>
      <c r="P334" s="74"/>
      <c r="Q334" s="9"/>
      <c r="R334" s="548"/>
      <c r="S334" s="9"/>
      <c r="T334" s="9"/>
      <c r="U334" s="9"/>
      <c r="V334" s="74"/>
      <c r="W334" s="9"/>
      <c r="X334" s="74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316"/>
      <c r="AQ334" s="8"/>
    </row>
    <row r="335" spans="1:43" ht="20.65" customHeight="1" thickBot="1" x14ac:dyDescent="0.3">
      <c r="A335" s="1224"/>
      <c r="B335" s="1234"/>
      <c r="C335" s="1194"/>
      <c r="D335" s="1234"/>
      <c r="E335" s="1485"/>
      <c r="F335" s="1427"/>
      <c r="G335" s="1163"/>
      <c r="H335" s="1163"/>
      <c r="I335" s="1161"/>
      <c r="J335" s="1002">
        <v>22646</v>
      </c>
      <c r="K335" s="173" t="s">
        <v>3</v>
      </c>
      <c r="L335" s="1297"/>
      <c r="M335" s="178"/>
      <c r="N335" s="9"/>
      <c r="O335" s="65"/>
      <c r="P335" s="74"/>
      <c r="Q335" s="9"/>
      <c r="R335" s="548"/>
      <c r="S335" s="9"/>
      <c r="T335" s="9"/>
      <c r="U335" s="9"/>
      <c r="V335" s="74"/>
      <c r="W335" s="9"/>
      <c r="X335" s="74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316"/>
      <c r="AQ335" s="8"/>
    </row>
    <row r="336" spans="1:43" ht="16.7" hidden="1" customHeight="1" x14ac:dyDescent="0.25">
      <c r="A336" s="61">
        <f>A334+1</f>
        <v>8</v>
      </c>
      <c r="B336" s="893"/>
      <c r="C336" s="996" t="s">
        <v>900</v>
      </c>
      <c r="D336" s="936" t="s">
        <v>174</v>
      </c>
      <c r="E336" s="991">
        <v>1.68</v>
      </c>
      <c r="F336" s="1037">
        <v>8535</v>
      </c>
      <c r="G336" s="369"/>
      <c r="H336" s="369"/>
      <c r="I336" s="360"/>
      <c r="J336" s="154"/>
      <c r="K336" s="898"/>
      <c r="L336" s="154"/>
      <c r="M336" s="27"/>
      <c r="N336" s="27"/>
      <c r="O336" s="361"/>
      <c r="P336" s="74"/>
      <c r="Q336" s="27"/>
      <c r="R336" s="1062"/>
      <c r="S336" s="9"/>
      <c r="T336" s="9"/>
      <c r="U336" s="9"/>
      <c r="V336" s="74"/>
      <c r="W336" s="9"/>
      <c r="X336" s="74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316"/>
      <c r="AQ336" s="8"/>
    </row>
    <row r="337" spans="1:43" ht="28.9" hidden="1" customHeight="1" x14ac:dyDescent="0.25">
      <c r="A337" s="11">
        <f t="shared" si="2"/>
        <v>9</v>
      </c>
      <c r="B337" s="963"/>
      <c r="C337" s="989" t="s">
        <v>901</v>
      </c>
      <c r="D337" s="936" t="s">
        <v>175</v>
      </c>
      <c r="E337" s="1068">
        <v>6.57</v>
      </c>
      <c r="F337" s="1039">
        <v>46925</v>
      </c>
      <c r="G337" s="359"/>
      <c r="H337" s="359"/>
      <c r="I337" s="360"/>
      <c r="J337" s="525"/>
      <c r="K337" s="898"/>
      <c r="L337" s="525"/>
      <c r="M337" s="27"/>
      <c r="N337" s="27"/>
      <c r="O337" s="361"/>
      <c r="P337" s="74"/>
      <c r="Q337" s="27"/>
      <c r="R337" s="1062"/>
      <c r="S337" s="9"/>
      <c r="T337" s="9"/>
      <c r="U337" s="9"/>
      <c r="V337" s="74"/>
      <c r="W337" s="9"/>
      <c r="X337" s="74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316"/>
      <c r="AQ337" s="8"/>
    </row>
    <row r="338" spans="1:43" ht="14.85" hidden="1" customHeight="1" x14ac:dyDescent="0.25">
      <c r="A338" s="11">
        <f t="shared" si="2"/>
        <v>10</v>
      </c>
      <c r="B338" s="963"/>
      <c r="C338" s="989" t="s">
        <v>147</v>
      </c>
      <c r="D338" s="936" t="s">
        <v>176</v>
      </c>
      <c r="E338" s="1068">
        <v>1.49</v>
      </c>
      <c r="F338" s="1039">
        <v>10630</v>
      </c>
      <c r="G338" s="359"/>
      <c r="H338" s="359"/>
      <c r="I338" s="360"/>
      <c r="J338" s="525"/>
      <c r="K338" s="898"/>
      <c r="L338" s="525"/>
      <c r="M338" s="27"/>
      <c r="N338" s="27"/>
      <c r="O338" s="361"/>
      <c r="P338" s="74"/>
      <c r="Q338" s="27"/>
      <c r="R338" s="1062"/>
      <c r="S338" s="9"/>
      <c r="T338" s="9"/>
      <c r="U338" s="9"/>
      <c r="V338" s="74"/>
      <c r="W338" s="9"/>
      <c r="X338" s="74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316"/>
      <c r="AQ338" s="8"/>
    </row>
    <row r="339" spans="1:43" ht="31.15" hidden="1" customHeight="1" x14ac:dyDescent="0.25">
      <c r="A339" s="11">
        <f t="shared" si="2"/>
        <v>11</v>
      </c>
      <c r="B339" s="963"/>
      <c r="C339" s="989" t="s">
        <v>902</v>
      </c>
      <c r="D339" s="936" t="s">
        <v>177</v>
      </c>
      <c r="E339" s="1068">
        <v>11.86</v>
      </c>
      <c r="F339" s="1039">
        <v>88088</v>
      </c>
      <c r="G339" s="359"/>
      <c r="H339" s="359"/>
      <c r="I339" s="360"/>
      <c r="J339" s="525"/>
      <c r="K339" s="898"/>
      <c r="L339" s="525"/>
      <c r="M339" s="27"/>
      <c r="N339" s="27"/>
      <c r="O339" s="361"/>
      <c r="P339" s="74"/>
      <c r="Q339" s="27"/>
      <c r="R339" s="1062"/>
      <c r="S339" s="9"/>
      <c r="T339" s="9"/>
      <c r="U339" s="9"/>
      <c r="V339" s="74"/>
      <c r="W339" s="9"/>
      <c r="X339" s="74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316"/>
      <c r="AQ339" s="8"/>
    </row>
    <row r="340" spans="1:43" ht="16.7" hidden="1" customHeight="1" x14ac:dyDescent="0.25">
      <c r="A340" s="11">
        <f t="shared" si="2"/>
        <v>12</v>
      </c>
      <c r="B340" s="963"/>
      <c r="C340" s="989" t="s">
        <v>48</v>
      </c>
      <c r="D340" s="936" t="s">
        <v>178</v>
      </c>
      <c r="E340" s="1068">
        <v>1.82</v>
      </c>
      <c r="F340" s="1039">
        <v>10920</v>
      </c>
      <c r="G340" s="359"/>
      <c r="H340" s="359"/>
      <c r="I340" s="360"/>
      <c r="J340" s="525"/>
      <c r="K340" s="898"/>
      <c r="L340" s="525"/>
      <c r="M340" s="27"/>
      <c r="N340" s="27"/>
      <c r="O340" s="361"/>
      <c r="P340" s="74"/>
      <c r="Q340" s="27"/>
      <c r="R340" s="1062"/>
      <c r="S340" s="9"/>
      <c r="T340" s="9"/>
      <c r="U340" s="9"/>
      <c r="V340" s="74"/>
      <c r="W340" s="9"/>
      <c r="X340" s="74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316"/>
      <c r="AQ340" s="8"/>
    </row>
    <row r="341" spans="1:43" ht="15.4" hidden="1" customHeight="1" x14ac:dyDescent="0.25">
      <c r="A341" s="11">
        <f t="shared" si="2"/>
        <v>13</v>
      </c>
      <c r="B341" s="963"/>
      <c r="C341" s="989" t="s">
        <v>903</v>
      </c>
      <c r="D341" s="936" t="s">
        <v>179</v>
      </c>
      <c r="E341" s="1068">
        <v>2.69</v>
      </c>
      <c r="F341" s="1039">
        <v>25210</v>
      </c>
      <c r="G341" s="359"/>
      <c r="H341" s="359"/>
      <c r="I341" s="360"/>
      <c r="J341" s="525"/>
      <c r="K341" s="898"/>
      <c r="L341" s="525"/>
      <c r="M341" s="27"/>
      <c r="N341" s="27"/>
      <c r="O341" s="361"/>
      <c r="P341" s="74"/>
      <c r="Q341" s="27"/>
      <c r="R341" s="1062"/>
      <c r="S341" s="9"/>
      <c r="T341" s="9"/>
      <c r="U341" s="9"/>
      <c r="V341" s="74"/>
      <c r="W341" s="9"/>
      <c r="X341" s="74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316"/>
      <c r="AQ341" s="8"/>
    </row>
    <row r="342" spans="1:43" ht="14.1" hidden="1" customHeight="1" x14ac:dyDescent="0.25">
      <c r="A342" s="11">
        <f t="shared" si="2"/>
        <v>14</v>
      </c>
      <c r="B342" s="963"/>
      <c r="C342" s="989" t="s">
        <v>904</v>
      </c>
      <c r="D342" s="936" t="s">
        <v>180</v>
      </c>
      <c r="E342" s="1068">
        <v>6.84</v>
      </c>
      <c r="F342" s="1039">
        <v>71035</v>
      </c>
      <c r="G342" s="359"/>
      <c r="H342" s="359"/>
      <c r="I342" s="360"/>
      <c r="J342" s="525"/>
      <c r="K342" s="898"/>
      <c r="L342" s="525"/>
      <c r="M342" s="27"/>
      <c r="N342" s="27"/>
      <c r="O342" s="361"/>
      <c r="P342" s="74"/>
      <c r="Q342" s="27"/>
      <c r="R342" s="1062"/>
      <c r="S342" s="9"/>
      <c r="T342" s="9"/>
      <c r="U342" s="9"/>
      <c r="V342" s="74"/>
      <c r="W342" s="9"/>
      <c r="X342" s="74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316"/>
      <c r="AQ342" s="8"/>
    </row>
    <row r="343" spans="1:43" ht="17.649999999999999" hidden="1" customHeight="1" x14ac:dyDescent="0.25">
      <c r="A343" s="11">
        <f t="shared" si="2"/>
        <v>15</v>
      </c>
      <c r="B343" s="963"/>
      <c r="C343" s="989" t="s">
        <v>905</v>
      </c>
      <c r="D343" s="936" t="s">
        <v>181</v>
      </c>
      <c r="E343" s="1068">
        <v>10.8</v>
      </c>
      <c r="F343" s="1039">
        <v>65780</v>
      </c>
      <c r="G343" s="359"/>
      <c r="H343" s="359"/>
      <c r="I343" s="360"/>
      <c r="J343" s="525"/>
      <c r="K343" s="898"/>
      <c r="L343" s="525"/>
      <c r="M343" s="27"/>
      <c r="N343" s="27"/>
      <c r="O343" s="361"/>
      <c r="P343" s="74"/>
      <c r="Q343" s="27"/>
      <c r="R343" s="1062"/>
      <c r="S343" s="9"/>
      <c r="T343" s="9"/>
      <c r="U343" s="9"/>
      <c r="V343" s="74"/>
      <c r="W343" s="9"/>
      <c r="X343" s="74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316"/>
      <c r="AQ343" s="8"/>
    </row>
    <row r="344" spans="1:43" ht="29.65" hidden="1" customHeight="1" x14ac:dyDescent="0.25">
      <c r="A344" s="11">
        <f t="shared" si="2"/>
        <v>16</v>
      </c>
      <c r="B344" s="963"/>
      <c r="C344" s="989" t="s">
        <v>906</v>
      </c>
      <c r="D344" s="936" t="s">
        <v>182</v>
      </c>
      <c r="E344" s="1068">
        <v>1.53</v>
      </c>
      <c r="F344" s="1039">
        <v>11445</v>
      </c>
      <c r="G344" s="359"/>
      <c r="H344" s="359"/>
      <c r="I344" s="360"/>
      <c r="J344" s="525"/>
      <c r="K344" s="898"/>
      <c r="L344" s="525"/>
      <c r="M344" s="27"/>
      <c r="N344" s="27"/>
      <c r="O344" s="361"/>
      <c r="P344" s="74"/>
      <c r="Q344" s="27"/>
      <c r="R344" s="1062"/>
      <c r="S344" s="9"/>
      <c r="T344" s="9"/>
      <c r="U344" s="9"/>
      <c r="V344" s="74"/>
      <c r="W344" s="9"/>
      <c r="X344" s="74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316"/>
      <c r="AQ344" s="8"/>
    </row>
    <row r="345" spans="1:43" ht="14.1" hidden="1" customHeight="1" x14ac:dyDescent="0.25">
      <c r="A345" s="11">
        <f t="shared" si="2"/>
        <v>17</v>
      </c>
      <c r="B345" s="963"/>
      <c r="C345" s="989" t="s">
        <v>148</v>
      </c>
      <c r="D345" s="936" t="s">
        <v>183</v>
      </c>
      <c r="E345" s="1068">
        <v>5</v>
      </c>
      <c r="F345" s="1039">
        <v>33008</v>
      </c>
      <c r="G345" s="359"/>
      <c r="H345" s="359"/>
      <c r="I345" s="360"/>
      <c r="J345" s="525"/>
      <c r="K345" s="898"/>
      <c r="L345" s="525"/>
      <c r="M345" s="27"/>
      <c r="N345" s="27"/>
      <c r="O345" s="361"/>
      <c r="P345" s="74"/>
      <c r="Q345" s="27"/>
      <c r="R345" s="1062"/>
      <c r="S345" s="9"/>
      <c r="T345" s="9"/>
      <c r="U345" s="9"/>
      <c r="V345" s="74"/>
      <c r="W345" s="9"/>
      <c r="X345" s="74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316"/>
      <c r="AQ345" s="8"/>
    </row>
    <row r="346" spans="1:43" ht="16.7" hidden="1" customHeight="1" x14ac:dyDescent="0.25">
      <c r="A346" s="11">
        <f t="shared" si="2"/>
        <v>18</v>
      </c>
      <c r="B346" s="963"/>
      <c r="C346" s="989" t="s">
        <v>49</v>
      </c>
      <c r="D346" s="936" t="s">
        <v>184</v>
      </c>
      <c r="E346" s="1068">
        <v>1.522</v>
      </c>
      <c r="F346" s="1039">
        <v>11547</v>
      </c>
      <c r="G346" s="359"/>
      <c r="H346" s="359"/>
      <c r="I346" s="360"/>
      <c r="J346" s="525"/>
      <c r="K346" s="898"/>
      <c r="L346" s="525"/>
      <c r="M346" s="27"/>
      <c r="N346" s="27"/>
      <c r="O346" s="361"/>
      <c r="P346" s="74"/>
      <c r="Q346" s="27"/>
      <c r="R346" s="1062"/>
      <c r="S346" s="9"/>
      <c r="T346" s="9"/>
      <c r="U346" s="9"/>
      <c r="V346" s="74"/>
      <c r="W346" s="9"/>
      <c r="X346" s="74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316"/>
      <c r="AQ346" s="8"/>
    </row>
    <row r="347" spans="1:43" ht="14.1" hidden="1" customHeight="1" x14ac:dyDescent="0.25">
      <c r="A347" s="11">
        <f t="shared" si="2"/>
        <v>19</v>
      </c>
      <c r="B347" s="963"/>
      <c r="C347" s="989" t="s">
        <v>50</v>
      </c>
      <c r="D347" s="936" t="s">
        <v>185</v>
      </c>
      <c r="E347" s="1068">
        <v>1.726</v>
      </c>
      <c r="F347" s="1039">
        <v>13508</v>
      </c>
      <c r="G347" s="359"/>
      <c r="H347" s="359"/>
      <c r="I347" s="360"/>
      <c r="J347" s="525"/>
      <c r="K347" s="898"/>
      <c r="L347" s="525"/>
      <c r="M347" s="27"/>
      <c r="N347" s="27"/>
      <c r="O347" s="361"/>
      <c r="P347" s="74"/>
      <c r="Q347" s="27"/>
      <c r="R347" s="1062"/>
      <c r="S347" s="9"/>
      <c r="T347" s="9"/>
      <c r="U347" s="9"/>
      <c r="V347" s="74"/>
      <c r="W347" s="9"/>
      <c r="X347" s="74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316"/>
      <c r="AQ347" s="8"/>
    </row>
    <row r="348" spans="1:43" ht="13.5" hidden="1" customHeight="1" thickBot="1" x14ac:dyDescent="0.3">
      <c r="A348" s="156">
        <f t="shared" si="2"/>
        <v>20</v>
      </c>
      <c r="B348" s="892"/>
      <c r="C348" s="1004" t="s">
        <v>51</v>
      </c>
      <c r="D348" s="998" t="s">
        <v>186</v>
      </c>
      <c r="E348" s="1040">
        <v>2.5870000000000002</v>
      </c>
      <c r="F348" s="1036">
        <v>12894</v>
      </c>
      <c r="G348" s="367"/>
      <c r="H348" s="367"/>
      <c r="I348" s="368"/>
      <c r="J348" s="160"/>
      <c r="K348" s="885"/>
      <c r="L348" s="160"/>
      <c r="M348" s="27"/>
      <c r="N348" s="27"/>
      <c r="O348" s="361"/>
      <c r="P348" s="74"/>
      <c r="Q348" s="27"/>
      <c r="R348" s="1062"/>
      <c r="S348" s="9"/>
      <c r="T348" s="9"/>
      <c r="U348" s="9"/>
      <c r="V348" s="74"/>
      <c r="W348" s="9"/>
      <c r="X348" s="74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316"/>
      <c r="AQ348" s="8"/>
    </row>
    <row r="349" spans="1:43" ht="27.6" customHeight="1" x14ac:dyDescent="0.25">
      <c r="A349" s="1235">
        <v>8</v>
      </c>
      <c r="B349" s="1289">
        <v>1960143</v>
      </c>
      <c r="C349" s="1193" t="s">
        <v>149</v>
      </c>
      <c r="D349" s="1273" t="s">
        <v>187</v>
      </c>
      <c r="E349" s="1474">
        <v>8.35</v>
      </c>
      <c r="F349" s="1429">
        <v>60780</v>
      </c>
      <c r="G349" s="1303" t="s">
        <v>1031</v>
      </c>
      <c r="H349" s="1303" t="s">
        <v>1135</v>
      </c>
      <c r="I349" s="1190" t="s">
        <v>7</v>
      </c>
      <c r="J349" s="181">
        <v>8.35</v>
      </c>
      <c r="K349" s="162" t="s">
        <v>2</v>
      </c>
      <c r="L349" s="1295">
        <v>50100</v>
      </c>
      <c r="M349" s="178"/>
      <c r="N349" s="9"/>
      <c r="O349" s="65"/>
      <c r="P349" s="74"/>
      <c r="Q349" s="9"/>
      <c r="R349" s="548"/>
      <c r="S349" s="9"/>
      <c r="T349" s="9"/>
      <c r="U349" s="9"/>
      <c r="V349" s="74"/>
      <c r="W349" s="9"/>
      <c r="X349" s="74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316"/>
      <c r="AQ349" s="8"/>
    </row>
    <row r="350" spans="1:43" ht="22.5" customHeight="1" thickBot="1" x14ac:dyDescent="0.3">
      <c r="A350" s="1224"/>
      <c r="B350" s="1234"/>
      <c r="C350" s="1194"/>
      <c r="D350" s="1274"/>
      <c r="E350" s="1475"/>
      <c r="F350" s="1430"/>
      <c r="G350" s="1163"/>
      <c r="H350" s="1163"/>
      <c r="I350" s="1161"/>
      <c r="J350" s="163">
        <v>50340</v>
      </c>
      <c r="K350" s="158" t="s">
        <v>3</v>
      </c>
      <c r="L350" s="1297"/>
      <c r="M350" s="178"/>
      <c r="N350" s="9"/>
      <c r="O350" s="65"/>
      <c r="P350" s="74"/>
      <c r="Q350" s="9"/>
      <c r="R350" s="548"/>
      <c r="S350" s="9"/>
      <c r="T350" s="9"/>
      <c r="U350" s="9"/>
      <c r="V350" s="74"/>
      <c r="W350" s="9"/>
      <c r="X350" s="74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316"/>
      <c r="AQ350" s="8"/>
    </row>
    <row r="351" spans="1:43" ht="31.15" hidden="1" customHeight="1" x14ac:dyDescent="0.25">
      <c r="A351" s="61">
        <f>A349+1</f>
        <v>9</v>
      </c>
      <c r="B351" s="893"/>
      <c r="C351" s="996" t="s">
        <v>150</v>
      </c>
      <c r="D351" s="936" t="s">
        <v>188</v>
      </c>
      <c r="E351" s="991">
        <v>6.4340000000000002</v>
      </c>
      <c r="F351" s="1037">
        <v>58010</v>
      </c>
      <c r="G351" s="369"/>
      <c r="H351" s="369"/>
      <c r="I351" s="360"/>
      <c r="J351" s="154"/>
      <c r="K351" s="898"/>
      <c r="L351" s="154"/>
      <c r="M351" s="27"/>
      <c r="N351" s="27"/>
      <c r="O351" s="361"/>
      <c r="P351" s="74"/>
      <c r="Q351" s="27"/>
      <c r="R351" s="1062"/>
      <c r="S351" s="9"/>
      <c r="T351" s="9"/>
      <c r="U351" s="9"/>
      <c r="V351" s="74"/>
      <c r="W351" s="9"/>
      <c r="X351" s="74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316"/>
      <c r="AQ351" s="8"/>
    </row>
    <row r="352" spans="1:43" ht="16.7" hidden="1" customHeight="1" x14ac:dyDescent="0.25">
      <c r="A352" s="11">
        <f t="shared" si="2"/>
        <v>10</v>
      </c>
      <c r="B352" s="963"/>
      <c r="C352" s="989" t="s">
        <v>151</v>
      </c>
      <c r="D352" s="936" t="s">
        <v>189</v>
      </c>
      <c r="E352" s="1068">
        <v>1.3</v>
      </c>
      <c r="F352" s="1039">
        <v>5970</v>
      </c>
      <c r="G352" s="359"/>
      <c r="H352" s="359"/>
      <c r="I352" s="360"/>
      <c r="J352" s="525"/>
      <c r="K352" s="898"/>
      <c r="L352" s="525"/>
      <c r="M352" s="27"/>
      <c r="N352" s="27"/>
      <c r="O352" s="361"/>
      <c r="P352" s="74"/>
      <c r="Q352" s="27"/>
      <c r="R352" s="1062"/>
      <c r="S352" s="9"/>
      <c r="T352" s="9"/>
      <c r="U352" s="9"/>
      <c r="V352" s="74"/>
      <c r="W352" s="9"/>
      <c r="X352" s="74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316"/>
      <c r="AQ352" s="8"/>
    </row>
    <row r="353" spans="1:43" ht="14.1" hidden="1" customHeight="1" x14ac:dyDescent="0.25">
      <c r="A353" s="11">
        <f t="shared" si="2"/>
        <v>11</v>
      </c>
      <c r="B353" s="963"/>
      <c r="C353" s="989" t="s">
        <v>152</v>
      </c>
      <c r="D353" s="936" t="s">
        <v>190</v>
      </c>
      <c r="E353" s="1068">
        <v>9.5</v>
      </c>
      <c r="F353" s="1039">
        <v>82784</v>
      </c>
      <c r="G353" s="359"/>
      <c r="H353" s="359"/>
      <c r="I353" s="360"/>
      <c r="J353" s="525"/>
      <c r="K353" s="898"/>
      <c r="L353" s="525"/>
      <c r="M353" s="27"/>
      <c r="N353" s="27"/>
      <c r="O353" s="361"/>
      <c r="P353" s="74"/>
      <c r="Q353" s="27"/>
      <c r="R353" s="1062"/>
      <c r="S353" s="9"/>
      <c r="T353" s="9"/>
      <c r="U353" s="9"/>
      <c r="V353" s="74"/>
      <c r="W353" s="9"/>
      <c r="X353" s="74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316"/>
      <c r="AQ353" s="8"/>
    </row>
    <row r="354" spans="1:43" ht="14.85" hidden="1" customHeight="1" x14ac:dyDescent="0.25">
      <c r="A354" s="11">
        <f t="shared" si="2"/>
        <v>12</v>
      </c>
      <c r="B354" s="963"/>
      <c r="C354" s="989" t="s">
        <v>52</v>
      </c>
      <c r="D354" s="936" t="s">
        <v>191</v>
      </c>
      <c r="E354" s="1068">
        <v>4</v>
      </c>
      <c r="F354" s="1039">
        <v>34783</v>
      </c>
      <c r="G354" s="359"/>
      <c r="H354" s="359"/>
      <c r="I354" s="360"/>
      <c r="J354" s="525"/>
      <c r="K354" s="898"/>
      <c r="L354" s="525"/>
      <c r="M354" s="27"/>
      <c r="N354" s="27"/>
      <c r="O354" s="361"/>
      <c r="P354" s="74"/>
      <c r="Q354" s="27"/>
      <c r="R354" s="1062"/>
      <c r="S354" s="9"/>
      <c r="T354" s="9"/>
      <c r="U354" s="9"/>
      <c r="V354" s="74"/>
      <c r="W354" s="9"/>
      <c r="X354" s="74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316"/>
      <c r="AQ354" s="8"/>
    </row>
    <row r="355" spans="1:43" ht="16.7" hidden="1" customHeight="1" x14ac:dyDescent="0.25">
      <c r="A355" s="11">
        <f t="shared" si="2"/>
        <v>13</v>
      </c>
      <c r="B355" s="963"/>
      <c r="C355" s="989" t="s">
        <v>53</v>
      </c>
      <c r="D355" s="936" t="s">
        <v>192</v>
      </c>
      <c r="E355" s="1068">
        <v>6.4720000000000004</v>
      </c>
      <c r="F355" s="1039">
        <v>39968</v>
      </c>
      <c r="G355" s="359"/>
      <c r="H355" s="359"/>
      <c r="I355" s="360"/>
      <c r="J355" s="525"/>
      <c r="K355" s="898"/>
      <c r="L355" s="525"/>
      <c r="M355" s="27"/>
      <c r="N355" s="27"/>
      <c r="O355" s="361"/>
      <c r="P355" s="74"/>
      <c r="Q355" s="27"/>
      <c r="R355" s="1062"/>
      <c r="S355" s="9"/>
      <c r="T355" s="9"/>
      <c r="U355" s="9"/>
      <c r="V355" s="74"/>
      <c r="W355" s="9"/>
      <c r="X355" s="74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316"/>
      <c r="AQ355" s="8"/>
    </row>
    <row r="356" spans="1:43" ht="16.149999999999999" hidden="1" customHeight="1" x14ac:dyDescent="0.25">
      <c r="A356" s="156">
        <f t="shared" si="2"/>
        <v>14</v>
      </c>
      <c r="B356" s="892"/>
      <c r="C356" s="1004" t="s">
        <v>907</v>
      </c>
      <c r="D356" s="998" t="s">
        <v>193</v>
      </c>
      <c r="E356" s="1040">
        <v>2.6</v>
      </c>
      <c r="F356" s="1036">
        <v>22415</v>
      </c>
      <c r="G356" s="367"/>
      <c r="H356" s="367"/>
      <c r="I356" s="368"/>
      <c r="J356" s="160"/>
      <c r="K356" s="885"/>
      <c r="L356" s="160"/>
      <c r="M356" s="27"/>
      <c r="N356" s="27"/>
      <c r="O356" s="361"/>
      <c r="P356" s="74"/>
      <c r="Q356" s="27"/>
      <c r="R356" s="1062"/>
      <c r="S356" s="9"/>
      <c r="T356" s="9"/>
      <c r="U356" s="9"/>
      <c r="V356" s="74"/>
      <c r="W356" s="9"/>
      <c r="X356" s="74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316"/>
      <c r="AQ356" s="8"/>
    </row>
    <row r="357" spans="1:43" ht="23.85" customHeight="1" x14ac:dyDescent="0.25">
      <c r="A357" s="1235">
        <v>9</v>
      </c>
      <c r="B357" s="1289">
        <v>1960085</v>
      </c>
      <c r="C357" s="1193" t="s">
        <v>1107</v>
      </c>
      <c r="D357" s="1289" t="s">
        <v>194</v>
      </c>
      <c r="E357" s="1484">
        <v>9.48</v>
      </c>
      <c r="F357" s="1426">
        <v>74876</v>
      </c>
      <c r="G357" s="1303" t="s">
        <v>1031</v>
      </c>
      <c r="H357" s="1303" t="s">
        <v>1114</v>
      </c>
      <c r="I357" s="1190" t="s">
        <v>7</v>
      </c>
      <c r="J357" s="181">
        <v>4.16</v>
      </c>
      <c r="K357" s="182" t="s">
        <v>2</v>
      </c>
      <c r="L357" s="1295">
        <f>52554.474-330</f>
        <v>52224.474000000002</v>
      </c>
      <c r="M357" s="178"/>
      <c r="N357" s="9"/>
      <c r="O357" s="65"/>
      <c r="P357" s="74"/>
      <c r="Q357" s="9"/>
      <c r="R357" s="548"/>
      <c r="S357" s="9"/>
      <c r="T357" s="9"/>
      <c r="U357" s="9"/>
      <c r="V357" s="74"/>
      <c r="W357" s="9"/>
      <c r="X357" s="74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316"/>
      <c r="AQ357" s="8"/>
    </row>
    <row r="358" spans="1:43" ht="23.85" customHeight="1" thickBot="1" x14ac:dyDescent="0.3">
      <c r="A358" s="1224"/>
      <c r="B358" s="1234"/>
      <c r="C358" s="1194"/>
      <c r="D358" s="1234"/>
      <c r="E358" s="1485"/>
      <c r="F358" s="1427"/>
      <c r="G358" s="1163"/>
      <c r="H358" s="1163"/>
      <c r="I358" s="1161"/>
      <c r="J358" s="183">
        <v>25644</v>
      </c>
      <c r="K358" s="173" t="s">
        <v>3</v>
      </c>
      <c r="L358" s="1297"/>
      <c r="M358" s="178"/>
      <c r="N358" s="9"/>
      <c r="O358" s="65"/>
      <c r="P358" s="74"/>
      <c r="Q358" s="9"/>
      <c r="R358" s="548"/>
      <c r="S358" s="9"/>
      <c r="T358" s="9"/>
      <c r="U358" s="9"/>
      <c r="V358" s="74"/>
      <c r="W358" s="9"/>
      <c r="X358" s="74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316"/>
      <c r="AQ358" s="8"/>
    </row>
    <row r="359" spans="1:43" ht="14.1" hidden="1" customHeight="1" x14ac:dyDescent="0.25">
      <c r="A359" s="61">
        <f>A357+1</f>
        <v>10</v>
      </c>
      <c r="B359" s="893"/>
      <c r="C359" s="996" t="s">
        <v>54</v>
      </c>
      <c r="D359" s="936" t="s">
        <v>195</v>
      </c>
      <c r="E359" s="991">
        <v>5.3769999999999998</v>
      </c>
      <c r="F359" s="1037">
        <v>47556</v>
      </c>
      <c r="G359" s="369"/>
      <c r="H359" s="369"/>
      <c r="I359" s="360"/>
      <c r="J359" s="154"/>
      <c r="K359" s="898"/>
      <c r="L359" s="154"/>
      <c r="M359" s="27"/>
      <c r="N359" s="27"/>
      <c r="O359" s="361"/>
      <c r="P359" s="362"/>
      <c r="Q359" s="27"/>
      <c r="R359" s="1062"/>
      <c r="S359" s="9"/>
      <c r="T359" s="9"/>
      <c r="U359" s="9"/>
      <c r="V359" s="74"/>
      <c r="W359" s="9"/>
      <c r="X359" s="74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316"/>
      <c r="AQ359" s="8"/>
    </row>
    <row r="360" spans="1:43" ht="17.649999999999999" hidden="1" customHeight="1" x14ac:dyDescent="0.25">
      <c r="A360" s="11">
        <f t="shared" si="2"/>
        <v>11</v>
      </c>
      <c r="B360" s="963"/>
      <c r="C360" s="989" t="s">
        <v>55</v>
      </c>
      <c r="D360" s="936" t="s">
        <v>196</v>
      </c>
      <c r="E360" s="1068">
        <v>3.6</v>
      </c>
      <c r="F360" s="1039">
        <v>26700</v>
      </c>
      <c r="G360" s="359"/>
      <c r="H360" s="359"/>
      <c r="I360" s="360"/>
      <c r="J360" s="525"/>
      <c r="K360" s="898"/>
      <c r="L360" s="525"/>
      <c r="M360" s="27"/>
      <c r="N360" s="27"/>
      <c r="O360" s="361"/>
      <c r="P360" s="362"/>
      <c r="Q360" s="27"/>
      <c r="R360" s="1062"/>
      <c r="S360" s="9"/>
      <c r="T360" s="9"/>
      <c r="U360" s="9"/>
      <c r="V360" s="74"/>
      <c r="W360" s="9"/>
      <c r="X360" s="74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316"/>
      <c r="AQ360" s="8"/>
    </row>
    <row r="361" spans="1:43" ht="14.1" hidden="1" customHeight="1" x14ac:dyDescent="0.25">
      <c r="A361" s="11">
        <f t="shared" si="2"/>
        <v>12</v>
      </c>
      <c r="B361" s="963"/>
      <c r="C361" s="989" t="s">
        <v>153</v>
      </c>
      <c r="D361" s="936" t="s">
        <v>197</v>
      </c>
      <c r="E361" s="1068">
        <v>9.3059999999999992</v>
      </c>
      <c r="F361" s="1039">
        <v>98483</v>
      </c>
      <c r="G361" s="359"/>
      <c r="H361" s="359"/>
      <c r="I361" s="360"/>
      <c r="J361" s="525"/>
      <c r="K361" s="898"/>
      <c r="L361" s="525"/>
      <c r="M361" s="27"/>
      <c r="N361" s="27"/>
      <c r="O361" s="361"/>
      <c r="P361" s="362"/>
      <c r="Q361" s="27"/>
      <c r="R361" s="1062"/>
      <c r="S361" s="9"/>
      <c r="T361" s="9"/>
      <c r="U361" s="9"/>
      <c r="V361" s="74"/>
      <c r="W361" s="9"/>
      <c r="X361" s="74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316"/>
      <c r="AQ361" s="8"/>
    </row>
    <row r="362" spans="1:43" ht="14.1" hidden="1" customHeight="1" x14ac:dyDescent="0.25">
      <c r="A362" s="11"/>
      <c r="B362" s="963"/>
      <c r="C362" s="46" t="s">
        <v>866</v>
      </c>
      <c r="D362" s="936"/>
      <c r="E362" s="1068"/>
      <c r="F362" s="1039"/>
      <c r="G362" s="359"/>
      <c r="H362" s="359"/>
      <c r="I362" s="360"/>
      <c r="J362" s="525"/>
      <c r="K362" s="898"/>
      <c r="L362" s="525"/>
      <c r="M362" s="27"/>
      <c r="N362" s="27"/>
      <c r="O362" s="361"/>
      <c r="P362" s="362"/>
      <c r="Q362" s="27"/>
      <c r="R362" s="1062"/>
      <c r="S362" s="9"/>
      <c r="T362" s="9"/>
      <c r="U362" s="9"/>
      <c r="V362" s="74"/>
      <c r="W362" s="9"/>
      <c r="X362" s="74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316"/>
      <c r="AQ362" s="8"/>
    </row>
    <row r="363" spans="1:43" ht="16.149999999999999" hidden="1" customHeight="1" x14ac:dyDescent="0.25">
      <c r="A363" s="11">
        <f>A361+1</f>
        <v>13</v>
      </c>
      <c r="B363" s="963"/>
      <c r="C363" s="989" t="s">
        <v>59</v>
      </c>
      <c r="D363" s="936" t="s">
        <v>198</v>
      </c>
      <c r="E363" s="1068">
        <v>4.5540000000000003</v>
      </c>
      <c r="F363" s="1039">
        <v>33059</v>
      </c>
      <c r="G363" s="359"/>
      <c r="H363" s="359"/>
      <c r="I363" s="360"/>
      <c r="J363" s="525"/>
      <c r="K363" s="898"/>
      <c r="L363" s="525"/>
      <c r="M363" s="27"/>
      <c r="N363" s="27"/>
      <c r="O363" s="361"/>
      <c r="P363" s="362"/>
      <c r="Q363" s="27"/>
      <c r="R363" s="1062"/>
      <c r="S363" s="9"/>
      <c r="T363" s="9"/>
      <c r="U363" s="9"/>
      <c r="V363" s="74"/>
      <c r="W363" s="9"/>
      <c r="X363" s="74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316"/>
      <c r="AQ363" s="8"/>
    </row>
    <row r="364" spans="1:43" ht="17.649999999999999" hidden="1" customHeight="1" x14ac:dyDescent="0.25">
      <c r="A364" s="11">
        <f t="shared" si="2"/>
        <v>14</v>
      </c>
      <c r="B364" s="963"/>
      <c r="C364" s="989" t="s">
        <v>154</v>
      </c>
      <c r="D364" s="936" t="s">
        <v>199</v>
      </c>
      <c r="E364" s="1068">
        <f>0.5+2.19</f>
        <v>2.69</v>
      </c>
      <c r="F364" s="1039">
        <f>5850+15076</f>
        <v>20926</v>
      </c>
      <c r="G364" s="359"/>
      <c r="H364" s="359"/>
      <c r="I364" s="360"/>
      <c r="J364" s="525"/>
      <c r="K364" s="898"/>
      <c r="L364" s="525"/>
      <c r="M364" s="27"/>
      <c r="N364" s="27"/>
      <c r="O364" s="361"/>
      <c r="P364" s="362"/>
      <c r="Q364" s="27"/>
      <c r="R364" s="1062"/>
      <c r="S364" s="9"/>
      <c r="T364" s="9"/>
      <c r="U364" s="9"/>
      <c r="V364" s="74"/>
      <c r="W364" s="9"/>
      <c r="X364" s="74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316"/>
      <c r="AQ364" s="8"/>
    </row>
    <row r="365" spans="1:43" ht="18.600000000000001" hidden="1" customHeight="1" x14ac:dyDescent="0.25">
      <c r="A365" s="11">
        <f t="shared" si="2"/>
        <v>15</v>
      </c>
      <c r="B365" s="963"/>
      <c r="C365" s="989" t="s">
        <v>56</v>
      </c>
      <c r="D365" s="936" t="s">
        <v>200</v>
      </c>
      <c r="E365" s="1068">
        <v>5.77</v>
      </c>
      <c r="F365" s="1039">
        <v>51670</v>
      </c>
      <c r="G365" s="359"/>
      <c r="H365" s="359"/>
      <c r="I365" s="360"/>
      <c r="J365" s="525"/>
      <c r="K365" s="898"/>
      <c r="L365" s="525"/>
      <c r="M365" s="27"/>
      <c r="N365" s="27"/>
      <c r="O365" s="361"/>
      <c r="P365" s="362"/>
      <c r="Q365" s="27"/>
      <c r="R365" s="1062"/>
      <c r="S365" s="9"/>
      <c r="T365" s="9"/>
      <c r="U365" s="9"/>
      <c r="V365" s="74"/>
      <c r="W365" s="9"/>
      <c r="X365" s="74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316"/>
      <c r="AQ365" s="8"/>
    </row>
    <row r="366" spans="1:43" ht="13.5" hidden="1" customHeight="1" x14ac:dyDescent="0.25">
      <c r="A366" s="11">
        <f t="shared" si="2"/>
        <v>16</v>
      </c>
      <c r="B366" s="963"/>
      <c r="C366" s="989" t="s">
        <v>908</v>
      </c>
      <c r="D366" s="936" t="s">
        <v>201</v>
      </c>
      <c r="E366" s="1068">
        <v>11.198</v>
      </c>
      <c r="F366" s="1039">
        <v>73789</v>
      </c>
      <c r="G366" s="359"/>
      <c r="H366" s="359"/>
      <c r="I366" s="360"/>
      <c r="J366" s="525"/>
      <c r="K366" s="898"/>
      <c r="L366" s="525"/>
      <c r="M366" s="27"/>
      <c r="N366" s="27"/>
      <c r="O366" s="361"/>
      <c r="P366" s="362"/>
      <c r="Q366" s="27"/>
      <c r="R366" s="1062"/>
      <c r="S366" s="9"/>
      <c r="T366" s="9"/>
      <c r="U366" s="9"/>
      <c r="V366" s="74"/>
      <c r="W366" s="9"/>
      <c r="X366" s="74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316"/>
      <c r="AQ366" s="8"/>
    </row>
    <row r="367" spans="1:43" ht="19.350000000000001" hidden="1" customHeight="1" x14ac:dyDescent="0.25">
      <c r="A367" s="11">
        <f t="shared" si="2"/>
        <v>17</v>
      </c>
      <c r="B367" s="963"/>
      <c r="C367" s="989" t="s">
        <v>909</v>
      </c>
      <c r="D367" s="936" t="s">
        <v>202</v>
      </c>
      <c r="E367" s="1068">
        <v>5.9370000000000003</v>
      </c>
      <c r="F367" s="1039">
        <v>30011</v>
      </c>
      <c r="G367" s="359"/>
      <c r="H367" s="359"/>
      <c r="I367" s="360"/>
      <c r="J367" s="525"/>
      <c r="K367" s="898"/>
      <c r="L367" s="525"/>
      <c r="M367" s="27"/>
      <c r="N367" s="27"/>
      <c r="O367" s="361"/>
      <c r="P367" s="362"/>
      <c r="Q367" s="27"/>
      <c r="R367" s="1062"/>
      <c r="S367" s="9"/>
      <c r="T367" s="9"/>
      <c r="U367" s="9"/>
      <c r="V367" s="74"/>
      <c r="W367" s="9"/>
      <c r="X367" s="74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316"/>
      <c r="AQ367" s="8"/>
    </row>
    <row r="368" spans="1:43" ht="14.85" hidden="1" customHeight="1" x14ac:dyDescent="0.25">
      <c r="A368" s="11" t="e">
        <f>#REF!+1</f>
        <v>#REF!</v>
      </c>
      <c r="B368" s="963"/>
      <c r="C368" s="989" t="s">
        <v>58</v>
      </c>
      <c r="D368" s="936" t="s">
        <v>204</v>
      </c>
      <c r="E368" s="1068">
        <v>4.4459999999999997</v>
      </c>
      <c r="F368" s="1039">
        <v>34808</v>
      </c>
      <c r="G368" s="359"/>
      <c r="H368" s="359"/>
      <c r="I368" s="360"/>
      <c r="J368" s="525"/>
      <c r="K368" s="898"/>
      <c r="L368" s="525"/>
      <c r="M368" s="27"/>
      <c r="N368" s="27"/>
      <c r="O368" s="361"/>
      <c r="P368" s="362"/>
      <c r="Q368" s="27"/>
      <c r="R368" s="1062"/>
      <c r="S368" s="9"/>
      <c r="T368" s="9"/>
      <c r="U368" s="9"/>
      <c r="V368" s="74"/>
      <c r="W368" s="9"/>
      <c r="X368" s="74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316"/>
      <c r="AQ368" s="8"/>
    </row>
    <row r="369" spans="1:43" ht="30.2" hidden="1" customHeight="1" x14ac:dyDescent="0.25">
      <c r="A369" s="11" t="e">
        <f t="shared" si="2"/>
        <v>#REF!</v>
      </c>
      <c r="B369" s="963"/>
      <c r="C369" s="989" t="s">
        <v>155</v>
      </c>
      <c r="D369" s="936" t="s">
        <v>205</v>
      </c>
      <c r="E369" s="1068">
        <f>4.36+0.39</f>
        <v>4.75</v>
      </c>
      <c r="F369" s="1039">
        <f>30659+2340</f>
        <v>32999</v>
      </c>
      <c r="G369" s="359"/>
      <c r="H369" s="359"/>
      <c r="I369" s="360"/>
      <c r="J369" s="525"/>
      <c r="K369" s="898"/>
      <c r="L369" s="525"/>
      <c r="M369" s="27"/>
      <c r="N369" s="27"/>
      <c r="O369" s="361"/>
      <c r="P369" s="362"/>
      <c r="Q369" s="27"/>
      <c r="R369" s="1062"/>
      <c r="S369" s="9"/>
      <c r="T369" s="9"/>
      <c r="U369" s="9"/>
      <c r="V369" s="74"/>
      <c r="W369" s="9"/>
      <c r="X369" s="74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316"/>
      <c r="AQ369" s="8"/>
    </row>
    <row r="370" spans="1:43" s="23" customFormat="1" ht="17.649999999999999" hidden="1" customHeight="1" x14ac:dyDescent="0.25">
      <c r="A370" s="11">
        <v>14</v>
      </c>
      <c r="B370" s="43" t="s">
        <v>1068</v>
      </c>
      <c r="C370" s="989" t="s">
        <v>60</v>
      </c>
      <c r="D370" s="1038" t="s">
        <v>206</v>
      </c>
      <c r="E370" s="1068">
        <f>28.44</f>
        <v>28.44</v>
      </c>
      <c r="F370" s="1039">
        <f>245012</f>
        <v>245012</v>
      </c>
      <c r="G370" s="359"/>
      <c r="H370" s="359"/>
      <c r="I370" s="360"/>
      <c r="J370" s="525"/>
      <c r="K370" s="898"/>
      <c r="L370" s="525"/>
      <c r="M370" s="27"/>
      <c r="N370" s="27"/>
      <c r="O370" s="361"/>
      <c r="P370" s="362"/>
      <c r="Q370" s="27"/>
      <c r="R370" s="1062"/>
      <c r="S370" s="1320"/>
      <c r="T370" s="1434"/>
      <c r="U370" s="1320"/>
      <c r="V370" s="1061"/>
      <c r="W370" s="21"/>
      <c r="X370" s="1853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337"/>
      <c r="AQ370" s="22"/>
    </row>
    <row r="371" spans="1:43" ht="17.649999999999999" hidden="1" customHeight="1" x14ac:dyDescent="0.25">
      <c r="A371" s="11"/>
      <c r="B371" s="887"/>
      <c r="C371" s="989"/>
      <c r="D371" s="936"/>
      <c r="E371" s="1068"/>
      <c r="F371" s="1039"/>
      <c r="G371" s="359"/>
      <c r="H371" s="359"/>
      <c r="I371" s="360"/>
      <c r="J371" s="525"/>
      <c r="K371" s="898"/>
      <c r="L371" s="525"/>
      <c r="M371" s="27"/>
      <c r="N371" s="27"/>
      <c r="O371" s="361"/>
      <c r="P371" s="362"/>
      <c r="Q371" s="27"/>
      <c r="R371" s="1062"/>
      <c r="S371" s="1320"/>
      <c r="T371" s="1368"/>
      <c r="U371" s="1320"/>
      <c r="V371" s="1061"/>
      <c r="W371" s="21"/>
      <c r="X371" s="1854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316"/>
      <c r="AQ371" s="8"/>
    </row>
    <row r="372" spans="1:43" ht="15.4" hidden="1" customHeight="1" x14ac:dyDescent="0.25">
      <c r="A372" s="11">
        <f>A370+1</f>
        <v>15</v>
      </c>
      <c r="B372" s="963"/>
      <c r="C372" s="989" t="s">
        <v>61</v>
      </c>
      <c r="D372" s="936" t="s">
        <v>207</v>
      </c>
      <c r="E372" s="1068">
        <v>5.34</v>
      </c>
      <c r="F372" s="1039">
        <v>55604</v>
      </c>
      <c r="G372" s="359"/>
      <c r="H372" s="359"/>
      <c r="I372" s="360"/>
      <c r="J372" s="525"/>
      <c r="K372" s="898"/>
      <c r="L372" s="525"/>
      <c r="M372" s="27"/>
      <c r="N372" s="27"/>
      <c r="O372" s="361"/>
      <c r="P372" s="362"/>
      <c r="Q372" s="27"/>
      <c r="R372" s="1062"/>
      <c r="S372" s="9"/>
      <c r="T372" s="9"/>
      <c r="U372" s="9"/>
      <c r="V372" s="74"/>
      <c r="W372" s="9"/>
      <c r="X372" s="74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316"/>
      <c r="AQ372" s="8"/>
    </row>
    <row r="373" spans="1:43" ht="16.7" hidden="1" customHeight="1" x14ac:dyDescent="0.25">
      <c r="A373" s="11">
        <f t="shared" si="2"/>
        <v>16</v>
      </c>
      <c r="B373" s="963"/>
      <c r="C373" s="989" t="s">
        <v>910</v>
      </c>
      <c r="D373" s="936" t="s">
        <v>208</v>
      </c>
      <c r="E373" s="1068">
        <v>1.81</v>
      </c>
      <c r="F373" s="1039">
        <v>10370</v>
      </c>
      <c r="G373" s="359"/>
      <c r="H373" s="359"/>
      <c r="I373" s="360"/>
      <c r="J373" s="525"/>
      <c r="K373" s="898"/>
      <c r="L373" s="525"/>
      <c r="M373" s="27"/>
      <c r="N373" s="27"/>
      <c r="O373" s="361"/>
      <c r="P373" s="362"/>
      <c r="Q373" s="27"/>
      <c r="R373" s="1062"/>
      <c r="S373" s="9"/>
      <c r="T373" s="9"/>
      <c r="U373" s="9"/>
      <c r="V373" s="74"/>
      <c r="W373" s="9"/>
      <c r="X373" s="74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316"/>
      <c r="AQ373" s="8"/>
    </row>
    <row r="374" spans="1:43" ht="14.1" hidden="1" customHeight="1" x14ac:dyDescent="0.25">
      <c r="A374" s="11">
        <f t="shared" si="2"/>
        <v>17</v>
      </c>
      <c r="B374" s="963"/>
      <c r="C374" s="989" t="s">
        <v>911</v>
      </c>
      <c r="D374" s="936" t="s">
        <v>209</v>
      </c>
      <c r="E374" s="1068">
        <v>6.1230000000000002</v>
      </c>
      <c r="F374" s="1039">
        <v>37246</v>
      </c>
      <c r="G374" s="359"/>
      <c r="H374" s="359"/>
      <c r="I374" s="360"/>
      <c r="J374" s="525"/>
      <c r="K374" s="898"/>
      <c r="L374" s="525"/>
      <c r="M374" s="27"/>
      <c r="N374" s="27"/>
      <c r="O374" s="361"/>
      <c r="P374" s="362"/>
      <c r="Q374" s="27"/>
      <c r="R374" s="1062"/>
      <c r="S374" s="9"/>
      <c r="T374" s="9"/>
      <c r="U374" s="9"/>
      <c r="V374" s="74"/>
      <c r="W374" s="9"/>
      <c r="X374" s="74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316"/>
      <c r="AQ374" s="8"/>
    </row>
    <row r="375" spans="1:43" ht="15.4" hidden="1" customHeight="1" x14ac:dyDescent="0.25">
      <c r="A375" s="11">
        <f t="shared" si="2"/>
        <v>18</v>
      </c>
      <c r="B375" s="963"/>
      <c r="C375" s="989" t="s">
        <v>912</v>
      </c>
      <c r="D375" s="936" t="s">
        <v>210</v>
      </c>
      <c r="E375" s="1068">
        <v>10.08</v>
      </c>
      <c r="F375" s="1039">
        <v>93309</v>
      </c>
      <c r="G375" s="359"/>
      <c r="H375" s="359"/>
      <c r="I375" s="360"/>
      <c r="J375" s="525"/>
      <c r="K375" s="898"/>
      <c r="L375" s="525"/>
      <c r="M375" s="27"/>
      <c r="N375" s="27"/>
      <c r="O375" s="361"/>
      <c r="P375" s="362"/>
      <c r="Q375" s="27"/>
      <c r="R375" s="1062"/>
      <c r="S375" s="9"/>
      <c r="T375" s="9"/>
      <c r="U375" s="9"/>
      <c r="V375" s="74"/>
      <c r="W375" s="9"/>
      <c r="X375" s="74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316"/>
      <c r="AQ375" s="8"/>
    </row>
    <row r="376" spans="1:43" ht="13.5" hidden="1" customHeight="1" x14ac:dyDescent="0.25">
      <c r="A376" s="11">
        <f t="shared" si="2"/>
        <v>19</v>
      </c>
      <c r="B376" s="963"/>
      <c r="C376" s="989" t="s">
        <v>913</v>
      </c>
      <c r="D376" s="936" t="s">
        <v>211</v>
      </c>
      <c r="E376" s="1068">
        <v>5.96</v>
      </c>
      <c r="F376" s="1039">
        <v>45958</v>
      </c>
      <c r="G376" s="359"/>
      <c r="H376" s="359"/>
      <c r="I376" s="360"/>
      <c r="J376" s="525"/>
      <c r="K376" s="898"/>
      <c r="L376" s="525"/>
      <c r="M376" s="27"/>
      <c r="N376" s="27"/>
      <c r="O376" s="361"/>
      <c r="P376" s="362"/>
      <c r="Q376" s="27"/>
      <c r="R376" s="1062"/>
      <c r="S376" s="9"/>
      <c r="T376" s="9"/>
      <c r="U376" s="9"/>
      <c r="V376" s="74"/>
      <c r="W376" s="9"/>
      <c r="X376" s="74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316"/>
      <c r="AQ376" s="8"/>
    </row>
    <row r="377" spans="1:43" ht="13.5" hidden="1" customHeight="1" x14ac:dyDescent="0.25">
      <c r="A377" s="11" t="e">
        <f>#REF!+1</f>
        <v>#REF!</v>
      </c>
      <c r="B377" s="963"/>
      <c r="C377" s="989" t="s">
        <v>914</v>
      </c>
      <c r="D377" s="936" t="s">
        <v>213</v>
      </c>
      <c r="E377" s="1068">
        <v>3.8</v>
      </c>
      <c r="F377" s="1039">
        <v>21131</v>
      </c>
      <c r="G377" s="359"/>
      <c r="H377" s="359"/>
      <c r="I377" s="360"/>
      <c r="J377" s="525"/>
      <c r="K377" s="898"/>
      <c r="L377" s="525"/>
      <c r="M377" s="27"/>
      <c r="N377" s="27"/>
      <c r="O377" s="361"/>
      <c r="P377" s="362"/>
      <c r="Q377" s="27"/>
      <c r="R377" s="1062"/>
      <c r="S377" s="9"/>
      <c r="T377" s="9"/>
      <c r="U377" s="9"/>
      <c r="V377" s="74"/>
      <c r="W377" s="9"/>
      <c r="X377" s="74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316"/>
      <c r="AQ377" s="8"/>
    </row>
    <row r="378" spans="1:43" ht="13.15" hidden="1" customHeight="1" x14ac:dyDescent="0.25">
      <c r="A378" s="11" t="e">
        <f t="shared" ref="A378:A457" si="3">A377+1</f>
        <v>#REF!</v>
      </c>
      <c r="B378" s="963"/>
      <c r="C378" s="989" t="s">
        <v>64</v>
      </c>
      <c r="D378" s="936" t="s">
        <v>214</v>
      </c>
      <c r="E378" s="1068">
        <v>9.3460000000000001</v>
      </c>
      <c r="F378" s="1039">
        <v>54755</v>
      </c>
      <c r="G378" s="359"/>
      <c r="H378" s="359"/>
      <c r="I378" s="360"/>
      <c r="J378" s="525"/>
      <c r="K378" s="898"/>
      <c r="L378" s="525"/>
      <c r="M378" s="27"/>
      <c r="N378" s="27"/>
      <c r="O378" s="361"/>
      <c r="P378" s="362"/>
      <c r="Q378" s="27"/>
      <c r="R378" s="1062"/>
      <c r="S378" s="9"/>
      <c r="T378" s="9"/>
      <c r="U378" s="9"/>
      <c r="V378" s="74"/>
      <c r="W378" s="9"/>
      <c r="X378" s="74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316"/>
      <c r="AQ378" s="8"/>
    </row>
    <row r="379" spans="1:43" ht="18" hidden="1" customHeight="1" x14ac:dyDescent="0.25">
      <c r="A379" s="11" t="e">
        <f t="shared" si="3"/>
        <v>#REF!</v>
      </c>
      <c r="B379" s="963"/>
      <c r="C379" s="989" t="s">
        <v>915</v>
      </c>
      <c r="D379" s="936" t="s">
        <v>215</v>
      </c>
      <c r="E379" s="1068">
        <v>14</v>
      </c>
      <c r="F379" s="1039">
        <v>71959</v>
      </c>
      <c r="G379" s="359"/>
      <c r="H379" s="359"/>
      <c r="I379" s="360"/>
      <c r="J379" s="525"/>
      <c r="K379" s="898"/>
      <c r="L379" s="525"/>
      <c r="M379" s="27"/>
      <c r="N379" s="27"/>
      <c r="O379" s="361"/>
      <c r="P379" s="362"/>
      <c r="Q379" s="27"/>
      <c r="R379" s="1062"/>
      <c r="S379" s="9"/>
      <c r="T379" s="9"/>
      <c r="U379" s="9"/>
      <c r="V379" s="74"/>
      <c r="W379" s="9"/>
      <c r="X379" s="74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316"/>
      <c r="AQ379" s="8"/>
    </row>
    <row r="380" spans="1:43" ht="17.649999999999999" hidden="1" customHeight="1" x14ac:dyDescent="0.25">
      <c r="A380" s="11" t="e">
        <f>#REF!+1</f>
        <v>#REF!</v>
      </c>
      <c r="B380" s="963"/>
      <c r="C380" s="989" t="s">
        <v>157</v>
      </c>
      <c r="D380" s="936" t="s">
        <v>217</v>
      </c>
      <c r="E380" s="1068">
        <v>15.9</v>
      </c>
      <c r="F380" s="1039">
        <v>104504</v>
      </c>
      <c r="G380" s="359"/>
      <c r="H380" s="359"/>
      <c r="I380" s="360"/>
      <c r="J380" s="525"/>
      <c r="K380" s="898"/>
      <c r="L380" s="525"/>
      <c r="M380" s="27"/>
      <c r="N380" s="27"/>
      <c r="O380" s="361"/>
      <c r="P380" s="362"/>
      <c r="Q380" s="27"/>
      <c r="R380" s="1062"/>
      <c r="S380" s="9"/>
      <c r="T380" s="9"/>
      <c r="U380" s="9"/>
      <c r="V380" s="74"/>
      <c r="W380" s="9"/>
      <c r="X380" s="74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316"/>
      <c r="AQ380" s="8"/>
    </row>
    <row r="381" spans="1:43" ht="16.149999999999999" hidden="1" customHeight="1" x14ac:dyDescent="0.25">
      <c r="A381" s="11" t="e">
        <f t="shared" si="3"/>
        <v>#REF!</v>
      </c>
      <c r="B381" s="963"/>
      <c r="C381" s="989" t="s">
        <v>916</v>
      </c>
      <c r="D381" s="936" t="s">
        <v>218</v>
      </c>
      <c r="E381" s="1068">
        <v>11.185</v>
      </c>
      <c r="F381" s="1039">
        <v>84781</v>
      </c>
      <c r="G381" s="359"/>
      <c r="H381" s="359"/>
      <c r="I381" s="360"/>
      <c r="J381" s="525"/>
      <c r="K381" s="898"/>
      <c r="L381" s="525"/>
      <c r="M381" s="27"/>
      <c r="N381" s="27"/>
      <c r="O381" s="361"/>
      <c r="P381" s="362"/>
      <c r="Q381" s="27"/>
      <c r="R381" s="1062"/>
      <c r="S381" s="9"/>
      <c r="T381" s="9"/>
      <c r="U381" s="9"/>
      <c r="V381" s="74"/>
      <c r="W381" s="9"/>
      <c r="X381" s="74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316"/>
      <c r="AQ381" s="8"/>
    </row>
    <row r="382" spans="1:43" ht="18.600000000000001" hidden="1" customHeight="1" x14ac:dyDescent="0.25">
      <c r="A382" s="11" t="e">
        <f t="shared" si="3"/>
        <v>#REF!</v>
      </c>
      <c r="B382" s="963"/>
      <c r="C382" s="989" t="s">
        <v>65</v>
      </c>
      <c r="D382" s="936" t="s">
        <v>219</v>
      </c>
      <c r="E382" s="1068">
        <v>17.797000000000001</v>
      </c>
      <c r="F382" s="1039">
        <v>121884</v>
      </c>
      <c r="G382" s="359"/>
      <c r="H382" s="359"/>
      <c r="I382" s="360"/>
      <c r="J382" s="525"/>
      <c r="K382" s="898"/>
      <c r="L382" s="525"/>
      <c r="M382" s="27"/>
      <c r="N382" s="27"/>
      <c r="O382" s="361"/>
      <c r="P382" s="362"/>
      <c r="Q382" s="27"/>
      <c r="R382" s="1062"/>
      <c r="S382" s="9"/>
      <c r="T382" s="9"/>
      <c r="U382" s="9"/>
      <c r="V382" s="74"/>
      <c r="W382" s="9"/>
      <c r="X382" s="74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316"/>
      <c r="AQ382" s="8"/>
    </row>
    <row r="383" spans="1:43" ht="31.5" hidden="1" customHeight="1" x14ac:dyDescent="0.25">
      <c r="A383" s="11" t="e">
        <f t="shared" si="3"/>
        <v>#REF!</v>
      </c>
      <c r="B383" s="963"/>
      <c r="C383" s="989" t="s">
        <v>66</v>
      </c>
      <c r="D383" s="936" t="s">
        <v>220</v>
      </c>
      <c r="E383" s="1068">
        <v>1.6</v>
      </c>
      <c r="F383" s="1039">
        <v>6514</v>
      </c>
      <c r="G383" s="359"/>
      <c r="H383" s="359"/>
      <c r="I383" s="360"/>
      <c r="J383" s="525"/>
      <c r="K383" s="898"/>
      <c r="L383" s="525"/>
      <c r="M383" s="27"/>
      <c r="N383" s="27"/>
      <c r="O383" s="361"/>
      <c r="P383" s="362"/>
      <c r="Q383" s="27"/>
      <c r="R383" s="1062"/>
      <c r="S383" s="9"/>
      <c r="T383" s="9"/>
      <c r="U383" s="9"/>
      <c r="V383" s="74"/>
      <c r="W383" s="9"/>
      <c r="X383" s="74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316"/>
      <c r="AQ383" s="8"/>
    </row>
    <row r="384" spans="1:43" ht="16.7" hidden="1" customHeight="1" x14ac:dyDescent="0.25">
      <c r="A384" s="11" t="e">
        <f t="shared" si="3"/>
        <v>#REF!</v>
      </c>
      <c r="B384" s="963"/>
      <c r="C384" s="989" t="s">
        <v>158</v>
      </c>
      <c r="D384" s="936" t="s">
        <v>221</v>
      </c>
      <c r="E384" s="1068">
        <v>5.0999999999999996</v>
      </c>
      <c r="F384" s="1039">
        <v>29375</v>
      </c>
      <c r="G384" s="359"/>
      <c r="H384" s="359"/>
      <c r="I384" s="360"/>
      <c r="J384" s="525"/>
      <c r="K384" s="898"/>
      <c r="L384" s="525"/>
      <c r="M384" s="27"/>
      <c r="N384" s="27"/>
      <c r="O384" s="361"/>
      <c r="P384" s="362"/>
      <c r="Q384" s="27"/>
      <c r="R384" s="1062"/>
      <c r="S384" s="9"/>
      <c r="T384" s="9"/>
      <c r="U384" s="9"/>
      <c r="V384" s="74"/>
      <c r="W384" s="9"/>
      <c r="X384" s="74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316"/>
      <c r="AQ384" s="8"/>
    </row>
    <row r="385" spans="1:43" ht="15.4" hidden="1" customHeight="1" x14ac:dyDescent="0.25">
      <c r="A385" s="11" t="e">
        <f t="shared" si="3"/>
        <v>#REF!</v>
      </c>
      <c r="B385" s="963"/>
      <c r="C385" s="989" t="s">
        <v>917</v>
      </c>
      <c r="D385" s="936" t="s">
        <v>222</v>
      </c>
      <c r="E385" s="1068">
        <v>1.6120000000000001</v>
      </c>
      <c r="F385" s="1039">
        <v>9843</v>
      </c>
      <c r="G385" s="359"/>
      <c r="H385" s="359"/>
      <c r="I385" s="360"/>
      <c r="J385" s="525"/>
      <c r="K385" s="898"/>
      <c r="L385" s="525"/>
      <c r="M385" s="27"/>
      <c r="N385" s="27"/>
      <c r="O385" s="361"/>
      <c r="P385" s="362"/>
      <c r="Q385" s="27"/>
      <c r="R385" s="1062"/>
      <c r="S385" s="9"/>
      <c r="T385" s="9"/>
      <c r="U385" s="9"/>
      <c r="V385" s="74"/>
      <c r="W385" s="9"/>
      <c r="X385" s="74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316"/>
      <c r="AQ385" s="8"/>
    </row>
    <row r="386" spans="1:43" ht="14.1" hidden="1" customHeight="1" x14ac:dyDescent="0.25">
      <c r="A386" s="11" t="e">
        <f t="shared" si="3"/>
        <v>#REF!</v>
      </c>
      <c r="B386" s="963"/>
      <c r="C386" s="989" t="s">
        <v>159</v>
      </c>
      <c r="D386" s="936" t="s">
        <v>223</v>
      </c>
      <c r="E386" s="1068">
        <v>0.25</v>
      </c>
      <c r="F386" s="1039">
        <v>833</v>
      </c>
      <c r="G386" s="359"/>
      <c r="H386" s="359"/>
      <c r="I386" s="360"/>
      <c r="J386" s="525"/>
      <c r="K386" s="898"/>
      <c r="L386" s="525"/>
      <c r="M386" s="27"/>
      <c r="N386" s="27"/>
      <c r="O386" s="361"/>
      <c r="P386" s="362"/>
      <c r="Q386" s="27"/>
      <c r="R386" s="1062"/>
      <c r="S386" s="9"/>
      <c r="T386" s="9"/>
      <c r="U386" s="9"/>
      <c r="V386" s="74"/>
      <c r="W386" s="9"/>
      <c r="X386" s="74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316"/>
      <c r="AQ386" s="8"/>
    </row>
    <row r="387" spans="1:43" ht="16.149999999999999" hidden="1" customHeight="1" x14ac:dyDescent="0.25">
      <c r="A387" s="11" t="e">
        <f t="shared" si="3"/>
        <v>#REF!</v>
      </c>
      <c r="B387" s="963"/>
      <c r="C387" s="989" t="s">
        <v>160</v>
      </c>
      <c r="D387" s="936" t="s">
        <v>224</v>
      </c>
      <c r="E387" s="1068">
        <v>9.2550000000000008</v>
      </c>
      <c r="F387" s="1039">
        <v>39145</v>
      </c>
      <c r="G387" s="359"/>
      <c r="H387" s="359"/>
      <c r="I387" s="360"/>
      <c r="J387" s="525"/>
      <c r="K387" s="898"/>
      <c r="L387" s="525"/>
      <c r="M387" s="27"/>
      <c r="N387" s="27"/>
      <c r="O387" s="361"/>
      <c r="P387" s="362"/>
      <c r="Q387" s="27"/>
      <c r="R387" s="1062"/>
      <c r="S387" s="9"/>
      <c r="T387" s="9"/>
      <c r="U387" s="9"/>
      <c r="V387" s="74"/>
      <c r="W387" s="9"/>
      <c r="X387" s="74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316"/>
      <c r="AQ387" s="8"/>
    </row>
    <row r="388" spans="1:43" ht="28.35" hidden="1" customHeight="1" x14ac:dyDescent="0.25">
      <c r="A388" s="11" t="e">
        <f t="shared" si="3"/>
        <v>#REF!</v>
      </c>
      <c r="B388" s="963"/>
      <c r="C388" s="989" t="s">
        <v>918</v>
      </c>
      <c r="D388" s="936" t="s">
        <v>442</v>
      </c>
      <c r="E388" s="1068">
        <v>1.3460000000000001</v>
      </c>
      <c r="F388" s="1039">
        <v>7727</v>
      </c>
      <c r="G388" s="359"/>
      <c r="H388" s="359"/>
      <c r="I388" s="360"/>
      <c r="J388" s="525"/>
      <c r="K388" s="898"/>
      <c r="L388" s="525"/>
      <c r="M388" s="27"/>
      <c r="N388" s="27"/>
      <c r="O388" s="361"/>
      <c r="P388" s="362"/>
      <c r="Q388" s="27"/>
      <c r="R388" s="1062"/>
      <c r="S388" s="9"/>
      <c r="T388" s="9"/>
      <c r="U388" s="9"/>
      <c r="V388" s="74"/>
      <c r="W388" s="9"/>
      <c r="X388" s="74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316"/>
      <c r="AQ388" s="8"/>
    </row>
    <row r="389" spans="1:43" ht="31.5" hidden="1" customHeight="1" x14ac:dyDescent="0.25">
      <c r="A389" s="11" t="e">
        <f t="shared" si="3"/>
        <v>#REF!</v>
      </c>
      <c r="B389" s="963"/>
      <c r="C389" s="989" t="s">
        <v>919</v>
      </c>
      <c r="D389" s="936" t="s">
        <v>443</v>
      </c>
      <c r="E389" s="1068">
        <v>1.3</v>
      </c>
      <c r="F389" s="1039">
        <v>7964</v>
      </c>
      <c r="G389" s="359"/>
      <c r="H389" s="359"/>
      <c r="I389" s="360"/>
      <c r="J389" s="525"/>
      <c r="K389" s="898"/>
      <c r="L389" s="525"/>
      <c r="M389" s="27"/>
      <c r="N389" s="27"/>
      <c r="O389" s="361"/>
      <c r="P389" s="362"/>
      <c r="Q389" s="27"/>
      <c r="R389" s="1062"/>
      <c r="S389" s="9"/>
      <c r="T389" s="9"/>
      <c r="U389" s="9"/>
      <c r="V389" s="74"/>
      <c r="W389" s="9"/>
      <c r="X389" s="74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316"/>
      <c r="AQ389" s="8"/>
    </row>
    <row r="390" spans="1:43" ht="15.4" hidden="1" customHeight="1" x14ac:dyDescent="0.25">
      <c r="A390" s="11" t="e">
        <f t="shared" si="3"/>
        <v>#REF!</v>
      </c>
      <c r="B390" s="963"/>
      <c r="C390" s="989" t="s">
        <v>67</v>
      </c>
      <c r="D390" s="936" t="s">
        <v>444</v>
      </c>
      <c r="E390" s="1068">
        <f>20.37+0.83</f>
        <v>21.2</v>
      </c>
      <c r="F390" s="1039">
        <f>144631+4908</f>
        <v>149539</v>
      </c>
      <c r="G390" s="359"/>
      <c r="H390" s="359"/>
      <c r="I390" s="360"/>
      <c r="J390" s="525"/>
      <c r="K390" s="898"/>
      <c r="L390" s="525"/>
      <c r="M390" s="27"/>
      <c r="N390" s="27"/>
      <c r="O390" s="361"/>
      <c r="P390" s="362"/>
      <c r="Q390" s="27"/>
      <c r="R390" s="1062"/>
      <c r="S390" s="9"/>
      <c r="T390" s="9"/>
      <c r="U390" s="9"/>
      <c r="V390" s="74"/>
      <c r="W390" s="9"/>
      <c r="X390" s="74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316"/>
      <c r="AQ390" s="8"/>
    </row>
    <row r="391" spans="1:43" ht="16.149999999999999" hidden="1" customHeight="1" x14ac:dyDescent="0.25">
      <c r="A391" s="11" t="e">
        <f t="shared" si="3"/>
        <v>#REF!</v>
      </c>
      <c r="B391" s="963"/>
      <c r="C391" s="989" t="s">
        <v>920</v>
      </c>
      <c r="D391" s="936" t="s">
        <v>445</v>
      </c>
      <c r="E391" s="1068">
        <v>0.82199999999999995</v>
      </c>
      <c r="F391" s="1039">
        <v>7170</v>
      </c>
      <c r="G391" s="359"/>
      <c r="H391" s="359"/>
      <c r="I391" s="360"/>
      <c r="J391" s="525"/>
      <c r="K391" s="898"/>
      <c r="L391" s="525"/>
      <c r="M391" s="27"/>
      <c r="N391" s="27"/>
      <c r="O391" s="361"/>
      <c r="P391" s="362"/>
      <c r="Q391" s="27"/>
      <c r="R391" s="1062"/>
      <c r="S391" s="9"/>
      <c r="T391" s="9"/>
      <c r="U391" s="9"/>
      <c r="V391" s="74"/>
      <c r="W391" s="9"/>
      <c r="X391" s="74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316"/>
      <c r="AQ391" s="8"/>
    </row>
    <row r="392" spans="1:43" ht="13.5" hidden="1" customHeight="1" x14ac:dyDescent="0.25">
      <c r="A392" s="11" t="e">
        <f t="shared" si="3"/>
        <v>#REF!</v>
      </c>
      <c r="B392" s="963"/>
      <c r="C392" s="989" t="s">
        <v>68</v>
      </c>
      <c r="D392" s="936" t="s">
        <v>446</v>
      </c>
      <c r="E392" s="1068">
        <v>3.4</v>
      </c>
      <c r="F392" s="1039">
        <v>17240</v>
      </c>
      <c r="G392" s="359"/>
      <c r="H392" s="359"/>
      <c r="I392" s="360"/>
      <c r="J392" s="525"/>
      <c r="K392" s="898"/>
      <c r="L392" s="525"/>
      <c r="M392" s="27"/>
      <c r="N392" s="27"/>
      <c r="O392" s="361"/>
      <c r="P392" s="362"/>
      <c r="Q392" s="27"/>
      <c r="R392" s="1062"/>
      <c r="S392" s="9"/>
      <c r="T392" s="9"/>
      <c r="U392" s="9"/>
      <c r="V392" s="74"/>
      <c r="W392" s="9"/>
      <c r="X392" s="74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316"/>
      <c r="AQ392" s="8"/>
    </row>
    <row r="393" spans="1:43" ht="18" hidden="1" customHeight="1" x14ac:dyDescent="0.25">
      <c r="A393" s="11" t="e">
        <f t="shared" si="3"/>
        <v>#REF!</v>
      </c>
      <c r="B393" s="963"/>
      <c r="C393" s="989" t="s">
        <v>94</v>
      </c>
      <c r="D393" s="936" t="s">
        <v>447</v>
      </c>
      <c r="E393" s="1068">
        <v>1</v>
      </c>
      <c r="F393" s="1039">
        <v>5889</v>
      </c>
      <c r="G393" s="359"/>
      <c r="H393" s="359"/>
      <c r="I393" s="360"/>
      <c r="J393" s="525"/>
      <c r="K393" s="898"/>
      <c r="L393" s="525"/>
      <c r="M393" s="27"/>
      <c r="N393" s="27"/>
      <c r="O393" s="361"/>
      <c r="P393" s="362"/>
      <c r="Q393" s="27"/>
      <c r="R393" s="1062"/>
      <c r="S393" s="9"/>
      <c r="T393" s="9"/>
      <c r="U393" s="9"/>
      <c r="V393" s="74"/>
      <c r="W393" s="9"/>
      <c r="X393" s="74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316"/>
      <c r="AQ393" s="8"/>
    </row>
    <row r="394" spans="1:43" ht="18" hidden="1" customHeight="1" x14ac:dyDescent="0.25">
      <c r="A394" s="11"/>
      <c r="B394" s="963"/>
      <c r="C394" s="46" t="s">
        <v>867</v>
      </c>
      <c r="D394" s="936"/>
      <c r="E394" s="1040"/>
      <c r="F394" s="1036"/>
      <c r="G394" s="359"/>
      <c r="H394" s="359"/>
      <c r="I394" s="360"/>
      <c r="J394" s="525"/>
      <c r="K394" s="898"/>
      <c r="L394" s="525"/>
      <c r="M394" s="27"/>
      <c r="N394" s="27"/>
      <c r="O394" s="361"/>
      <c r="P394" s="362"/>
      <c r="Q394" s="27"/>
      <c r="R394" s="1062"/>
      <c r="S394" s="9"/>
      <c r="T394" s="9"/>
      <c r="U394" s="9"/>
      <c r="V394" s="74"/>
      <c r="W394" s="9"/>
      <c r="X394" s="74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316"/>
      <c r="AQ394" s="8"/>
    </row>
    <row r="395" spans="1:43" ht="14.85" hidden="1" customHeight="1" x14ac:dyDescent="0.25">
      <c r="A395" s="11" t="e">
        <f>A393+1</f>
        <v>#REF!</v>
      </c>
      <c r="B395" s="963"/>
      <c r="C395" s="989" t="s">
        <v>75</v>
      </c>
      <c r="D395" s="936" t="s">
        <v>448</v>
      </c>
      <c r="E395" s="1068">
        <f>14.94+16.489</f>
        <v>31.429000000000002</v>
      </c>
      <c r="F395" s="1039">
        <f>121097+118172</f>
        <v>239269</v>
      </c>
      <c r="G395" s="359"/>
      <c r="H395" s="359"/>
      <c r="I395" s="360"/>
      <c r="J395" s="525"/>
      <c r="K395" s="898"/>
      <c r="L395" s="525"/>
      <c r="M395" s="27"/>
      <c r="N395" s="27"/>
      <c r="O395" s="361"/>
      <c r="P395" s="362"/>
      <c r="Q395" s="27"/>
      <c r="R395" s="1062"/>
      <c r="S395" s="9"/>
      <c r="T395" s="9"/>
      <c r="U395" s="9"/>
      <c r="V395" s="74"/>
      <c r="W395" s="9"/>
      <c r="X395" s="74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316"/>
      <c r="AQ395" s="8"/>
    </row>
    <row r="396" spans="1:43" ht="17.649999999999999" hidden="1" customHeight="1" x14ac:dyDescent="0.25">
      <c r="A396" s="11" t="e">
        <f t="shared" si="3"/>
        <v>#REF!</v>
      </c>
      <c r="B396" s="963"/>
      <c r="C396" s="989" t="s">
        <v>225</v>
      </c>
      <c r="D396" s="936" t="s">
        <v>449</v>
      </c>
      <c r="E396" s="1068">
        <v>24.55</v>
      </c>
      <c r="F396" s="1039">
        <v>250685</v>
      </c>
      <c r="G396" s="359"/>
      <c r="H396" s="359"/>
      <c r="I396" s="360"/>
      <c r="J396" s="525"/>
      <c r="K396" s="898"/>
      <c r="L396" s="525"/>
      <c r="M396" s="27"/>
      <c r="N396" s="27"/>
      <c r="O396" s="361"/>
      <c r="P396" s="362"/>
      <c r="Q396" s="27"/>
      <c r="R396" s="1062"/>
      <c r="S396" s="9"/>
      <c r="T396" s="9"/>
      <c r="U396" s="9"/>
      <c r="V396" s="74"/>
      <c r="W396" s="9"/>
      <c r="X396" s="74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316"/>
      <c r="AQ396" s="8"/>
    </row>
    <row r="397" spans="1:43" ht="16.149999999999999" hidden="1" customHeight="1" x14ac:dyDescent="0.25">
      <c r="A397" s="11" t="e">
        <f t="shared" si="3"/>
        <v>#REF!</v>
      </c>
      <c r="B397" s="963"/>
      <c r="C397" s="989" t="s">
        <v>69</v>
      </c>
      <c r="D397" s="936" t="s">
        <v>450</v>
      </c>
      <c r="E397" s="1068">
        <v>1.9</v>
      </c>
      <c r="F397" s="1039">
        <v>9471</v>
      </c>
      <c r="G397" s="359"/>
      <c r="H397" s="359"/>
      <c r="I397" s="360"/>
      <c r="J397" s="525"/>
      <c r="K397" s="898"/>
      <c r="L397" s="525"/>
      <c r="M397" s="27"/>
      <c r="N397" s="27"/>
      <c r="O397" s="361"/>
      <c r="P397" s="362"/>
      <c r="Q397" s="27"/>
      <c r="R397" s="1062"/>
      <c r="S397" s="9"/>
      <c r="T397" s="9"/>
      <c r="U397" s="9"/>
      <c r="V397" s="74"/>
      <c r="W397" s="9"/>
      <c r="X397" s="74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316"/>
      <c r="AQ397" s="8"/>
    </row>
    <row r="398" spans="1:43" ht="14.1" hidden="1" customHeight="1" x14ac:dyDescent="0.25">
      <c r="A398" s="11" t="e">
        <f t="shared" si="3"/>
        <v>#REF!</v>
      </c>
      <c r="B398" s="963"/>
      <c r="C398" s="989" t="s">
        <v>70</v>
      </c>
      <c r="D398" s="936" t="s">
        <v>451</v>
      </c>
      <c r="E398" s="1068">
        <v>5.29</v>
      </c>
      <c r="F398" s="1039">
        <v>36965</v>
      </c>
      <c r="G398" s="359"/>
      <c r="H398" s="359"/>
      <c r="I398" s="360"/>
      <c r="J398" s="525"/>
      <c r="K398" s="898"/>
      <c r="L398" s="525"/>
      <c r="M398" s="27"/>
      <c r="N398" s="27"/>
      <c r="O398" s="361"/>
      <c r="P398" s="362"/>
      <c r="Q398" s="27"/>
      <c r="R398" s="1062"/>
      <c r="S398" s="9"/>
      <c r="T398" s="9"/>
      <c r="U398" s="9"/>
      <c r="V398" s="74"/>
      <c r="W398" s="9"/>
      <c r="X398" s="74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316"/>
      <c r="AQ398" s="8"/>
    </row>
    <row r="399" spans="1:43" ht="14.85" hidden="1" customHeight="1" x14ac:dyDescent="0.25">
      <c r="A399" s="11" t="e">
        <f t="shared" si="3"/>
        <v>#REF!</v>
      </c>
      <c r="B399" s="963"/>
      <c r="C399" s="989" t="s">
        <v>71</v>
      </c>
      <c r="D399" s="936" t="s">
        <v>452</v>
      </c>
      <c r="E399" s="1068">
        <v>3.89</v>
      </c>
      <c r="F399" s="1039">
        <v>26419</v>
      </c>
      <c r="G399" s="359"/>
      <c r="H399" s="359"/>
      <c r="I399" s="360"/>
      <c r="J399" s="525"/>
      <c r="K399" s="898"/>
      <c r="L399" s="525"/>
      <c r="M399" s="27"/>
      <c r="N399" s="27"/>
      <c r="O399" s="361"/>
      <c r="P399" s="362"/>
      <c r="Q399" s="27"/>
      <c r="R399" s="1062"/>
      <c r="S399" s="9"/>
      <c r="T399" s="9"/>
      <c r="U399" s="9"/>
      <c r="V399" s="74"/>
      <c r="W399" s="9"/>
      <c r="X399" s="74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316"/>
      <c r="AQ399" s="8"/>
    </row>
    <row r="400" spans="1:43" ht="14.85" hidden="1" customHeight="1" x14ac:dyDescent="0.25">
      <c r="A400" s="11" t="e">
        <f t="shared" si="3"/>
        <v>#REF!</v>
      </c>
      <c r="B400" s="963"/>
      <c r="C400" s="989" t="s">
        <v>72</v>
      </c>
      <c r="D400" s="936" t="s">
        <v>453</v>
      </c>
      <c r="E400" s="1068">
        <v>9.6999999999999993</v>
      </c>
      <c r="F400" s="1039">
        <v>62273</v>
      </c>
      <c r="G400" s="359"/>
      <c r="H400" s="359"/>
      <c r="I400" s="360"/>
      <c r="J400" s="525"/>
      <c r="K400" s="898"/>
      <c r="L400" s="525"/>
      <c r="M400" s="27"/>
      <c r="N400" s="27"/>
      <c r="O400" s="361"/>
      <c r="P400" s="362"/>
      <c r="Q400" s="27"/>
      <c r="R400" s="1062"/>
      <c r="S400" s="9"/>
      <c r="T400" s="9"/>
      <c r="U400" s="9"/>
      <c r="V400" s="74"/>
      <c r="W400" s="9"/>
      <c r="X400" s="74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316"/>
      <c r="AQ400" s="8"/>
    </row>
    <row r="401" spans="1:43" ht="14.1" hidden="1" customHeight="1" x14ac:dyDescent="0.25">
      <c r="A401" s="11" t="e">
        <f t="shared" si="3"/>
        <v>#REF!</v>
      </c>
      <c r="B401" s="963"/>
      <c r="C401" s="989" t="s">
        <v>921</v>
      </c>
      <c r="D401" s="936" t="s">
        <v>454</v>
      </c>
      <c r="E401" s="1068">
        <v>3.1</v>
      </c>
      <c r="F401" s="1039">
        <v>14272</v>
      </c>
      <c r="G401" s="359"/>
      <c r="H401" s="359"/>
      <c r="I401" s="360"/>
      <c r="J401" s="525"/>
      <c r="K401" s="898"/>
      <c r="L401" s="525"/>
      <c r="M401" s="27"/>
      <c r="N401" s="27"/>
      <c r="O401" s="361"/>
      <c r="P401" s="362"/>
      <c r="Q401" s="27"/>
      <c r="R401" s="1062"/>
      <c r="S401" s="9"/>
      <c r="T401" s="9"/>
      <c r="U401" s="9"/>
      <c r="V401" s="74"/>
      <c r="W401" s="9"/>
      <c r="X401" s="74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316"/>
      <c r="AQ401" s="8"/>
    </row>
    <row r="402" spans="1:43" ht="14.85" hidden="1" customHeight="1" x14ac:dyDescent="0.25">
      <c r="A402" s="11" t="e">
        <f t="shared" si="3"/>
        <v>#REF!</v>
      </c>
      <c r="B402" s="963"/>
      <c r="C402" s="989" t="s">
        <v>73</v>
      </c>
      <c r="D402" s="936" t="s">
        <v>455</v>
      </c>
      <c r="E402" s="1068">
        <v>15.94</v>
      </c>
      <c r="F402" s="1039">
        <v>169567</v>
      </c>
      <c r="G402" s="359"/>
      <c r="H402" s="359"/>
      <c r="I402" s="360"/>
      <c r="J402" s="525"/>
      <c r="K402" s="898"/>
      <c r="L402" s="525"/>
      <c r="M402" s="27"/>
      <c r="N402" s="27"/>
      <c r="O402" s="361"/>
      <c r="P402" s="362"/>
      <c r="Q402" s="27"/>
      <c r="R402" s="1062"/>
      <c r="S402" s="9"/>
      <c r="T402" s="9"/>
      <c r="U402" s="9"/>
      <c r="V402" s="74"/>
      <c r="W402" s="9"/>
      <c r="X402" s="74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316"/>
      <c r="AQ402" s="8"/>
    </row>
    <row r="403" spans="1:43" ht="27" hidden="1" customHeight="1" x14ac:dyDescent="0.25">
      <c r="A403" s="11" t="e">
        <f t="shared" si="3"/>
        <v>#REF!</v>
      </c>
      <c r="B403" s="963"/>
      <c r="C403" s="989" t="s">
        <v>226</v>
      </c>
      <c r="D403" s="936" t="s">
        <v>456</v>
      </c>
      <c r="E403" s="1068">
        <v>4.5199999999999996</v>
      </c>
      <c r="F403" s="1039">
        <v>52056</v>
      </c>
      <c r="G403" s="359"/>
      <c r="H403" s="359"/>
      <c r="I403" s="360"/>
      <c r="J403" s="525"/>
      <c r="K403" s="898"/>
      <c r="L403" s="525"/>
      <c r="M403" s="27"/>
      <c r="N403" s="27"/>
      <c r="O403" s="361"/>
      <c r="P403" s="362"/>
      <c r="Q403" s="27"/>
      <c r="R403" s="1062"/>
      <c r="S403" s="9"/>
      <c r="T403" s="9"/>
      <c r="U403" s="9"/>
      <c r="V403" s="74"/>
      <c r="W403" s="9"/>
      <c r="X403" s="74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316"/>
      <c r="AQ403" s="8"/>
    </row>
    <row r="404" spans="1:43" ht="14.85" hidden="1" customHeight="1" x14ac:dyDescent="0.25">
      <c r="A404" s="11" t="e">
        <f t="shared" si="3"/>
        <v>#REF!</v>
      </c>
      <c r="B404" s="963"/>
      <c r="C404" s="989" t="s">
        <v>74</v>
      </c>
      <c r="D404" s="936" t="s">
        <v>457</v>
      </c>
      <c r="E404" s="1068">
        <v>8</v>
      </c>
      <c r="F404" s="1039">
        <v>86343</v>
      </c>
      <c r="G404" s="359"/>
      <c r="H404" s="359"/>
      <c r="I404" s="360"/>
      <c r="J404" s="525"/>
      <c r="K404" s="898"/>
      <c r="L404" s="525"/>
      <c r="M404" s="27"/>
      <c r="N404" s="27"/>
      <c r="O404" s="361"/>
      <c r="P404" s="362"/>
      <c r="Q404" s="27"/>
      <c r="R404" s="1062"/>
      <c r="S404" s="9"/>
      <c r="T404" s="9"/>
      <c r="U404" s="9"/>
      <c r="V404" s="74"/>
      <c r="W404" s="9"/>
      <c r="X404" s="74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316"/>
      <c r="AQ404" s="8"/>
    </row>
    <row r="405" spans="1:43" ht="16.149999999999999" hidden="1" customHeight="1" x14ac:dyDescent="0.25">
      <c r="A405" s="11" t="e">
        <f t="shared" si="3"/>
        <v>#REF!</v>
      </c>
      <c r="B405" s="963"/>
      <c r="C405" s="989" t="s">
        <v>227</v>
      </c>
      <c r="D405" s="936" t="s">
        <v>458</v>
      </c>
      <c r="E405" s="1068">
        <v>12</v>
      </c>
      <c r="F405" s="1039">
        <v>91529</v>
      </c>
      <c r="G405" s="359"/>
      <c r="H405" s="359"/>
      <c r="I405" s="360"/>
      <c r="J405" s="525"/>
      <c r="K405" s="898"/>
      <c r="L405" s="525"/>
      <c r="M405" s="27"/>
      <c r="N405" s="27"/>
      <c r="O405" s="361"/>
      <c r="P405" s="362"/>
      <c r="Q405" s="27"/>
      <c r="R405" s="1062"/>
      <c r="S405" s="9"/>
      <c r="T405" s="9"/>
      <c r="U405" s="9"/>
      <c r="V405" s="74"/>
      <c r="W405" s="9"/>
      <c r="X405" s="74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316"/>
      <c r="AQ405" s="8"/>
    </row>
    <row r="406" spans="1:43" ht="17.649999999999999" hidden="1" customHeight="1" x14ac:dyDescent="0.25">
      <c r="A406" s="11" t="e">
        <f t="shared" si="3"/>
        <v>#REF!</v>
      </c>
      <c r="B406" s="963"/>
      <c r="C406" s="989" t="s">
        <v>228</v>
      </c>
      <c r="D406" s="936" t="s">
        <v>459</v>
      </c>
      <c r="E406" s="1068">
        <v>2</v>
      </c>
      <c r="F406" s="1039">
        <v>6924</v>
      </c>
      <c r="G406" s="359"/>
      <c r="H406" s="359"/>
      <c r="I406" s="360"/>
      <c r="J406" s="525"/>
      <c r="K406" s="898"/>
      <c r="L406" s="525"/>
      <c r="M406" s="27"/>
      <c r="N406" s="27"/>
      <c r="O406" s="361"/>
      <c r="P406" s="362"/>
      <c r="Q406" s="27"/>
      <c r="R406" s="1062"/>
      <c r="S406" s="9"/>
      <c r="T406" s="9"/>
      <c r="U406" s="9"/>
      <c r="V406" s="74"/>
      <c r="W406" s="9"/>
      <c r="X406" s="74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316"/>
      <c r="AQ406" s="8"/>
    </row>
    <row r="407" spans="1:43" ht="16.149999999999999" hidden="1" customHeight="1" x14ac:dyDescent="0.25">
      <c r="A407" s="11" t="e">
        <f t="shared" si="3"/>
        <v>#REF!</v>
      </c>
      <c r="B407" s="963"/>
      <c r="C407" s="989" t="s">
        <v>229</v>
      </c>
      <c r="D407" s="936" t="s">
        <v>460</v>
      </c>
      <c r="E407" s="1068">
        <f>2.79+21.5</f>
        <v>24.29</v>
      </c>
      <c r="F407" s="1039">
        <f>14266+119753</f>
        <v>134019</v>
      </c>
      <c r="G407" s="359"/>
      <c r="H407" s="359"/>
      <c r="I407" s="360"/>
      <c r="J407" s="525"/>
      <c r="K407" s="898"/>
      <c r="L407" s="525"/>
      <c r="M407" s="27"/>
      <c r="N407" s="27"/>
      <c r="O407" s="361"/>
      <c r="P407" s="362"/>
      <c r="Q407" s="27"/>
      <c r="R407" s="1062"/>
      <c r="S407" s="9"/>
      <c r="T407" s="9"/>
      <c r="U407" s="9"/>
      <c r="V407" s="74"/>
      <c r="W407" s="9"/>
      <c r="X407" s="74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316"/>
      <c r="AQ407" s="8"/>
    </row>
    <row r="408" spans="1:43" ht="15.4" hidden="1" customHeight="1" x14ac:dyDescent="0.25">
      <c r="A408" s="11" t="e">
        <f t="shared" si="3"/>
        <v>#REF!</v>
      </c>
      <c r="B408" s="963"/>
      <c r="C408" s="989" t="s">
        <v>95</v>
      </c>
      <c r="D408" s="936" t="s">
        <v>461</v>
      </c>
      <c r="E408" s="1068">
        <v>3</v>
      </c>
      <c r="F408" s="1039">
        <v>31135</v>
      </c>
      <c r="G408" s="359"/>
      <c r="H408" s="359"/>
      <c r="I408" s="360"/>
      <c r="J408" s="525"/>
      <c r="K408" s="898"/>
      <c r="L408" s="525"/>
      <c r="M408" s="27"/>
      <c r="N408" s="27"/>
      <c r="O408" s="361"/>
      <c r="P408" s="362"/>
      <c r="Q408" s="27"/>
      <c r="R408" s="1062"/>
      <c r="S408" s="9"/>
      <c r="T408" s="9"/>
      <c r="U408" s="9"/>
      <c r="V408" s="74"/>
      <c r="W408" s="9"/>
      <c r="X408" s="74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316"/>
      <c r="AQ408" s="8"/>
    </row>
    <row r="409" spans="1:43" ht="16.149999999999999" hidden="1" customHeight="1" x14ac:dyDescent="0.25">
      <c r="A409" s="11" t="e">
        <f t="shared" si="3"/>
        <v>#REF!</v>
      </c>
      <c r="B409" s="963"/>
      <c r="C409" s="989" t="s">
        <v>230</v>
      </c>
      <c r="D409" s="936" t="s">
        <v>462</v>
      </c>
      <c r="E409" s="1068">
        <v>7.9509999999999996</v>
      </c>
      <c r="F409" s="1039">
        <v>28019</v>
      </c>
      <c r="G409" s="359"/>
      <c r="H409" s="359"/>
      <c r="I409" s="360"/>
      <c r="J409" s="525"/>
      <c r="K409" s="898"/>
      <c r="L409" s="525"/>
      <c r="M409" s="27"/>
      <c r="N409" s="27"/>
      <c r="O409" s="361"/>
      <c r="P409" s="362"/>
      <c r="Q409" s="27"/>
      <c r="R409" s="1062"/>
      <c r="S409" s="9"/>
      <c r="T409" s="9"/>
      <c r="U409" s="9"/>
      <c r="V409" s="74"/>
      <c r="W409" s="9"/>
      <c r="X409" s="74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316"/>
      <c r="AQ409" s="8"/>
    </row>
    <row r="410" spans="1:43" ht="14.1" hidden="1" customHeight="1" x14ac:dyDescent="0.25">
      <c r="A410" s="11" t="e">
        <f t="shared" si="3"/>
        <v>#REF!</v>
      </c>
      <c r="B410" s="963"/>
      <c r="C410" s="989" t="s">
        <v>96</v>
      </c>
      <c r="D410" s="936" t="s">
        <v>463</v>
      </c>
      <c r="E410" s="1068">
        <v>7.31</v>
      </c>
      <c r="F410" s="1039">
        <v>68110</v>
      </c>
      <c r="G410" s="359"/>
      <c r="H410" s="359"/>
      <c r="I410" s="360"/>
      <c r="J410" s="525"/>
      <c r="K410" s="898"/>
      <c r="L410" s="525"/>
      <c r="M410" s="27"/>
      <c r="N410" s="27"/>
      <c r="O410" s="361"/>
      <c r="P410" s="362"/>
      <c r="Q410" s="27"/>
      <c r="R410" s="1062"/>
      <c r="S410" s="9"/>
      <c r="T410" s="9"/>
      <c r="U410" s="9"/>
      <c r="V410" s="74"/>
      <c r="W410" s="9"/>
      <c r="X410" s="74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316"/>
      <c r="AQ410" s="8"/>
    </row>
    <row r="411" spans="1:43" ht="17.649999999999999" hidden="1" customHeight="1" x14ac:dyDescent="0.25">
      <c r="A411" s="11" t="e">
        <f t="shared" si="3"/>
        <v>#REF!</v>
      </c>
      <c r="B411" s="963"/>
      <c r="C411" s="989" t="s">
        <v>922</v>
      </c>
      <c r="D411" s="936" t="s">
        <v>464</v>
      </c>
      <c r="E411" s="1068">
        <v>4</v>
      </c>
      <c r="F411" s="1039">
        <v>42000</v>
      </c>
      <c r="G411" s="359"/>
      <c r="H411" s="359"/>
      <c r="I411" s="360"/>
      <c r="J411" s="525"/>
      <c r="K411" s="898"/>
      <c r="L411" s="525"/>
      <c r="M411" s="27"/>
      <c r="N411" s="27"/>
      <c r="O411" s="361"/>
      <c r="P411" s="362"/>
      <c r="Q411" s="27"/>
      <c r="R411" s="1062"/>
      <c r="S411" s="9"/>
      <c r="T411" s="9"/>
      <c r="U411" s="9"/>
      <c r="V411" s="74"/>
      <c r="W411" s="9"/>
      <c r="X411" s="74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316"/>
      <c r="AQ411" s="8"/>
    </row>
    <row r="412" spans="1:43" ht="29.65" hidden="1" customHeight="1" x14ac:dyDescent="0.25">
      <c r="A412" s="11" t="e">
        <f t="shared" si="3"/>
        <v>#REF!</v>
      </c>
      <c r="B412" s="963"/>
      <c r="C412" s="989" t="s">
        <v>231</v>
      </c>
      <c r="D412" s="936" t="s">
        <v>465</v>
      </c>
      <c r="E412" s="1068">
        <v>5.7</v>
      </c>
      <c r="F412" s="1039">
        <v>45489</v>
      </c>
      <c r="G412" s="359"/>
      <c r="H412" s="359"/>
      <c r="I412" s="360"/>
      <c r="J412" s="525"/>
      <c r="K412" s="898"/>
      <c r="L412" s="525"/>
      <c r="M412" s="27"/>
      <c r="N412" s="27"/>
      <c r="O412" s="361"/>
      <c r="P412" s="362"/>
      <c r="Q412" s="27"/>
      <c r="R412" s="1062"/>
      <c r="S412" s="9"/>
      <c r="T412" s="9"/>
      <c r="U412" s="9"/>
      <c r="V412" s="74"/>
      <c r="W412" s="9"/>
      <c r="X412" s="74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316"/>
      <c r="AQ412" s="8"/>
    </row>
    <row r="413" spans="1:43" ht="20.65" hidden="1" customHeight="1" x14ac:dyDescent="0.25">
      <c r="A413" s="11" t="e">
        <f t="shared" si="3"/>
        <v>#REF!</v>
      </c>
      <c r="B413" s="963"/>
      <c r="C413" s="989" t="s">
        <v>76</v>
      </c>
      <c r="D413" s="936" t="s">
        <v>466</v>
      </c>
      <c r="E413" s="1068">
        <v>6.44</v>
      </c>
      <c r="F413" s="1039">
        <v>75378</v>
      </c>
      <c r="G413" s="359"/>
      <c r="H413" s="359"/>
      <c r="I413" s="360"/>
      <c r="J413" s="525"/>
      <c r="K413" s="898"/>
      <c r="L413" s="525"/>
      <c r="M413" s="27"/>
      <c r="N413" s="27"/>
      <c r="O413" s="361"/>
      <c r="P413" s="362"/>
      <c r="Q413" s="27"/>
      <c r="R413" s="1062"/>
      <c r="S413" s="9"/>
      <c r="T413" s="9"/>
      <c r="U413" s="9"/>
      <c r="V413" s="74"/>
      <c r="W413" s="9"/>
      <c r="X413" s="74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316"/>
      <c r="AQ413" s="8"/>
    </row>
    <row r="414" spans="1:43" ht="32.85" hidden="1" customHeight="1" x14ac:dyDescent="0.25">
      <c r="A414" s="11" t="e">
        <f t="shared" si="3"/>
        <v>#REF!</v>
      </c>
      <c r="B414" s="963"/>
      <c r="C414" s="989" t="s">
        <v>923</v>
      </c>
      <c r="D414" s="936" t="s">
        <v>467</v>
      </c>
      <c r="E414" s="1068">
        <v>6.5</v>
      </c>
      <c r="F414" s="1039">
        <v>48308</v>
      </c>
      <c r="G414" s="359"/>
      <c r="H414" s="359"/>
      <c r="I414" s="360"/>
      <c r="J414" s="525"/>
      <c r="K414" s="898"/>
      <c r="L414" s="525"/>
      <c r="M414" s="27"/>
      <c r="N414" s="27"/>
      <c r="O414" s="361"/>
      <c r="P414" s="362"/>
      <c r="Q414" s="27"/>
      <c r="R414" s="1062"/>
      <c r="S414" s="9"/>
      <c r="T414" s="9"/>
      <c r="U414" s="9"/>
      <c r="V414" s="74"/>
      <c r="W414" s="9"/>
      <c r="X414" s="74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316"/>
      <c r="AQ414" s="8"/>
    </row>
    <row r="415" spans="1:43" ht="16.7" hidden="1" customHeight="1" x14ac:dyDescent="0.25">
      <c r="A415" s="11" t="e">
        <f t="shared" si="3"/>
        <v>#REF!</v>
      </c>
      <c r="B415" s="963"/>
      <c r="C415" s="989" t="s">
        <v>77</v>
      </c>
      <c r="D415" s="936" t="s">
        <v>468</v>
      </c>
      <c r="E415" s="1068">
        <v>13.48</v>
      </c>
      <c r="F415" s="1039">
        <v>107489</v>
      </c>
      <c r="G415" s="359"/>
      <c r="H415" s="359"/>
      <c r="I415" s="360"/>
      <c r="J415" s="525"/>
      <c r="K415" s="898"/>
      <c r="L415" s="525"/>
      <c r="M415" s="27"/>
      <c r="N415" s="27"/>
      <c r="O415" s="361"/>
      <c r="P415" s="362"/>
      <c r="Q415" s="27"/>
      <c r="R415" s="1062"/>
      <c r="S415" s="9"/>
      <c r="T415" s="9"/>
      <c r="U415" s="9"/>
      <c r="V415" s="74"/>
      <c r="W415" s="9"/>
      <c r="X415" s="74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316"/>
      <c r="AQ415" s="8"/>
    </row>
    <row r="416" spans="1:43" ht="15.4" hidden="1" customHeight="1" x14ac:dyDescent="0.25">
      <c r="A416" s="11" t="e">
        <f t="shared" si="3"/>
        <v>#REF!</v>
      </c>
      <c r="B416" s="963"/>
      <c r="C416" s="989" t="s">
        <v>78</v>
      </c>
      <c r="D416" s="936" t="s">
        <v>469</v>
      </c>
      <c r="E416" s="1068">
        <v>3.9</v>
      </c>
      <c r="F416" s="1039">
        <v>23524</v>
      </c>
      <c r="G416" s="359"/>
      <c r="H416" s="359"/>
      <c r="I416" s="360"/>
      <c r="J416" s="525"/>
      <c r="K416" s="898"/>
      <c r="L416" s="525"/>
      <c r="M416" s="27"/>
      <c r="N416" s="27"/>
      <c r="O416" s="361"/>
      <c r="P416" s="362"/>
      <c r="Q416" s="27"/>
      <c r="R416" s="1062"/>
      <c r="S416" s="9"/>
      <c r="T416" s="9"/>
      <c r="U416" s="9"/>
      <c r="V416" s="74"/>
      <c r="W416" s="9"/>
      <c r="X416" s="74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316"/>
      <c r="AQ416" s="8"/>
    </row>
    <row r="417" spans="1:43" ht="15.4" hidden="1" customHeight="1" x14ac:dyDescent="0.25">
      <c r="A417" s="11" t="e">
        <f t="shared" si="3"/>
        <v>#REF!</v>
      </c>
      <c r="B417" s="963"/>
      <c r="C417" s="989" t="s">
        <v>232</v>
      </c>
      <c r="D417" s="936" t="s">
        <v>470</v>
      </c>
      <c r="E417" s="1068">
        <v>1.6240000000000001</v>
      </c>
      <c r="F417" s="1039">
        <v>14778</v>
      </c>
      <c r="G417" s="359"/>
      <c r="H417" s="359"/>
      <c r="I417" s="360"/>
      <c r="J417" s="525"/>
      <c r="K417" s="898"/>
      <c r="L417" s="525"/>
      <c r="M417" s="27"/>
      <c r="N417" s="27"/>
      <c r="O417" s="361"/>
      <c r="P417" s="362"/>
      <c r="Q417" s="27"/>
      <c r="R417" s="1062"/>
      <c r="S417" s="9"/>
      <c r="T417" s="9"/>
      <c r="U417" s="9"/>
      <c r="V417" s="74"/>
      <c r="W417" s="9"/>
      <c r="X417" s="74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316"/>
      <c r="AQ417" s="8"/>
    </row>
    <row r="418" spans="1:43" ht="18" hidden="1" customHeight="1" x14ac:dyDescent="0.25">
      <c r="A418" s="11" t="e">
        <f t="shared" si="3"/>
        <v>#REF!</v>
      </c>
      <c r="B418" s="963"/>
      <c r="C418" s="989" t="s">
        <v>233</v>
      </c>
      <c r="D418" s="936" t="s">
        <v>471</v>
      </c>
      <c r="E418" s="1068">
        <v>0.3</v>
      </c>
      <c r="F418" s="1039">
        <v>1050</v>
      </c>
      <c r="G418" s="359"/>
      <c r="H418" s="359"/>
      <c r="I418" s="360"/>
      <c r="J418" s="525"/>
      <c r="K418" s="898"/>
      <c r="L418" s="525"/>
      <c r="M418" s="27"/>
      <c r="N418" s="27"/>
      <c r="O418" s="361"/>
      <c r="P418" s="362"/>
      <c r="Q418" s="27"/>
      <c r="R418" s="1062"/>
      <c r="S418" s="9"/>
      <c r="T418" s="9"/>
      <c r="U418" s="9"/>
      <c r="V418" s="74"/>
      <c r="W418" s="9"/>
      <c r="X418" s="74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316"/>
      <c r="AQ418" s="8"/>
    </row>
    <row r="419" spans="1:43" ht="18" hidden="1" customHeight="1" thickBot="1" x14ac:dyDescent="0.3">
      <c r="A419" s="156"/>
      <c r="B419" s="892"/>
      <c r="C419" s="184" t="s">
        <v>868</v>
      </c>
      <c r="D419" s="998"/>
      <c r="E419" s="1040"/>
      <c r="F419" s="1036"/>
      <c r="G419" s="367"/>
      <c r="H419" s="367"/>
      <c r="I419" s="368"/>
      <c r="J419" s="160"/>
      <c r="K419" s="885"/>
      <c r="L419" s="160"/>
      <c r="M419" s="1127"/>
      <c r="N419" s="1127"/>
      <c r="O419" s="370"/>
      <c r="P419" s="371"/>
      <c r="Q419" s="1127"/>
      <c r="R419" s="549"/>
      <c r="S419" s="9"/>
      <c r="T419" s="9"/>
      <c r="U419" s="9"/>
      <c r="V419" s="74"/>
      <c r="W419" s="9"/>
      <c r="X419" s="74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316"/>
      <c r="AQ419" s="8"/>
    </row>
    <row r="420" spans="1:43" ht="22.5" customHeight="1" x14ac:dyDescent="0.25">
      <c r="A420" s="1331">
        <v>10</v>
      </c>
      <c r="B420" s="2034" t="s">
        <v>1100</v>
      </c>
      <c r="C420" s="1185" t="s">
        <v>234</v>
      </c>
      <c r="D420" s="1195" t="s">
        <v>472</v>
      </c>
      <c r="E420" s="1172">
        <f>14.829+31.87</f>
        <v>46.698999999999998</v>
      </c>
      <c r="F420" s="1505">
        <f>115017+236668</f>
        <v>351685</v>
      </c>
      <c r="G420" s="1175" t="s">
        <v>1031</v>
      </c>
      <c r="H420" s="1175" t="s">
        <v>1098</v>
      </c>
      <c r="I420" s="1207" t="s">
        <v>7</v>
      </c>
      <c r="J420" s="1056"/>
      <c r="K420" s="162" t="s">
        <v>2</v>
      </c>
      <c r="L420" s="1502">
        <f>L428+L429</f>
        <v>146885.68599999999</v>
      </c>
      <c r="M420" s="1166" t="s">
        <v>1031</v>
      </c>
      <c r="N420" s="1166" t="s">
        <v>1098</v>
      </c>
      <c r="O420" s="1207" t="s">
        <v>7</v>
      </c>
      <c r="P420" s="167">
        <v>14.829000000000001</v>
      </c>
      <c r="Q420" s="182" t="s">
        <v>2</v>
      </c>
      <c r="R420" s="1459">
        <f>105794.962-R422-R423</f>
        <v>102565.996</v>
      </c>
      <c r="S420" s="178"/>
      <c r="T420" s="9"/>
      <c r="U420" s="9"/>
      <c r="V420" s="74"/>
      <c r="W420" s="9"/>
      <c r="X420" s="74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316"/>
      <c r="AQ420" s="8"/>
    </row>
    <row r="421" spans="1:43" ht="18.600000000000001" customHeight="1" x14ac:dyDescent="0.25">
      <c r="A421" s="1332"/>
      <c r="B421" s="2035"/>
      <c r="C421" s="1186"/>
      <c r="D421" s="1196"/>
      <c r="E421" s="1173"/>
      <c r="F421" s="1501"/>
      <c r="G421" s="1176"/>
      <c r="H421" s="1176"/>
      <c r="I421" s="1157"/>
      <c r="J421" s="1014"/>
      <c r="K421" s="318" t="s">
        <v>3</v>
      </c>
      <c r="L421" s="1215"/>
      <c r="M421" s="1167"/>
      <c r="N421" s="1167"/>
      <c r="O421" s="1157"/>
      <c r="P421" s="1061">
        <v>104149</v>
      </c>
      <c r="Q421" s="42" t="s">
        <v>3</v>
      </c>
      <c r="R421" s="1460"/>
      <c r="S421" s="178"/>
      <c r="T421" s="9"/>
      <c r="U421" s="9"/>
      <c r="V421" s="74"/>
      <c r="W421" s="9"/>
      <c r="X421" s="74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316"/>
      <c r="AQ421" s="8"/>
    </row>
    <row r="422" spans="1:43" ht="18.600000000000001" customHeight="1" x14ac:dyDescent="0.25">
      <c r="A422" s="1332"/>
      <c r="B422" s="2035"/>
      <c r="C422" s="1186"/>
      <c r="D422" s="1196"/>
      <c r="E422" s="1173"/>
      <c r="F422" s="1501"/>
      <c r="G422" s="1176"/>
      <c r="H422" s="1176"/>
      <c r="I422" s="1053" t="s">
        <v>8</v>
      </c>
      <c r="J422" s="1014"/>
      <c r="K422" s="318" t="s">
        <v>2</v>
      </c>
      <c r="L422" s="1014">
        <v>0</v>
      </c>
      <c r="M422" s="1167"/>
      <c r="N422" s="1167"/>
      <c r="O422" s="1053" t="s">
        <v>8</v>
      </c>
      <c r="P422" s="85">
        <v>43.177</v>
      </c>
      <c r="Q422" s="42" t="s">
        <v>2</v>
      </c>
      <c r="R422" s="1013">
        <v>2619.4569999999999</v>
      </c>
      <c r="S422" s="178"/>
      <c r="T422" s="9"/>
      <c r="U422" s="9"/>
      <c r="V422" s="74"/>
      <c r="W422" s="9"/>
      <c r="X422" s="74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316"/>
      <c r="AQ422" s="8"/>
    </row>
    <row r="423" spans="1:43" ht="33" customHeight="1" x14ac:dyDescent="0.25">
      <c r="A423" s="1332"/>
      <c r="B423" s="2035"/>
      <c r="C423" s="1186"/>
      <c r="D423" s="1196"/>
      <c r="E423" s="1173"/>
      <c r="F423" s="1501"/>
      <c r="G423" s="1176"/>
      <c r="H423" s="1176"/>
      <c r="I423" s="1053" t="s">
        <v>32</v>
      </c>
      <c r="J423" s="1014"/>
      <c r="K423" s="42" t="s">
        <v>10</v>
      </c>
      <c r="L423" s="1014">
        <v>0</v>
      </c>
      <c r="M423" s="1167"/>
      <c r="N423" s="1167"/>
      <c r="O423" s="877" t="s">
        <v>32</v>
      </c>
      <c r="P423" s="85">
        <v>84</v>
      </c>
      <c r="Q423" s="42" t="s">
        <v>10</v>
      </c>
      <c r="R423" s="1013">
        <v>609.50900000000001</v>
      </c>
      <c r="S423" s="178"/>
      <c r="T423" s="9"/>
      <c r="U423" s="9"/>
      <c r="V423" s="74"/>
      <c r="W423" s="9"/>
      <c r="X423" s="74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316"/>
      <c r="AQ423" s="8"/>
    </row>
    <row r="424" spans="1:43" ht="32.1" hidden="1" customHeight="1" x14ac:dyDescent="0.25">
      <c r="A424" s="1332"/>
      <c r="B424" s="2035"/>
      <c r="C424" s="1186"/>
      <c r="D424" s="1196"/>
      <c r="E424" s="1173"/>
      <c r="F424" s="1501"/>
      <c r="G424" s="983"/>
      <c r="H424" s="983"/>
      <c r="I424" s="1053"/>
      <c r="J424" s="1014"/>
      <c r="K424" s="318"/>
      <c r="L424" s="270"/>
      <c r="M424" s="966"/>
      <c r="N424" s="966"/>
      <c r="O424" s="1053"/>
      <c r="P424" s="86"/>
      <c r="Q424" s="42"/>
      <c r="R424" s="551"/>
      <c r="S424" s="178"/>
      <c r="T424" s="9"/>
      <c r="U424" s="9"/>
      <c r="V424" s="74"/>
      <c r="W424" s="9"/>
      <c r="X424" s="74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316"/>
      <c r="AQ424" s="8"/>
    </row>
    <row r="425" spans="1:43" ht="23.85" hidden="1" customHeight="1" x14ac:dyDescent="0.25">
      <c r="A425" s="1332"/>
      <c r="B425" s="2035"/>
      <c r="C425" s="1186"/>
      <c r="D425" s="1196"/>
      <c r="E425" s="1173"/>
      <c r="F425" s="1501"/>
      <c r="G425" s="983"/>
      <c r="H425" s="983"/>
      <c r="I425" s="1053"/>
      <c r="J425" s="1014"/>
      <c r="K425" s="318"/>
      <c r="L425" s="270"/>
      <c r="M425" s="966"/>
      <c r="N425" s="966"/>
      <c r="O425" s="1053"/>
      <c r="P425" s="86"/>
      <c r="Q425" s="42"/>
      <c r="R425" s="551">
        <f>R420+R422</f>
        <v>105185.45299999999</v>
      </c>
      <c r="S425" s="178"/>
      <c r="T425" s="9"/>
      <c r="U425" s="9"/>
      <c r="V425" s="74"/>
      <c r="W425" s="9"/>
      <c r="X425" s="74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316"/>
      <c r="AQ425" s="8"/>
    </row>
    <row r="426" spans="1:43" ht="27.6" hidden="1" customHeight="1" x14ac:dyDescent="0.25">
      <c r="A426" s="1332"/>
      <c r="B426" s="2035"/>
      <c r="C426" s="1186"/>
      <c r="D426" s="1196"/>
      <c r="E426" s="1173"/>
      <c r="F426" s="1501"/>
      <c r="G426" s="983"/>
      <c r="H426" s="983"/>
      <c r="I426" s="1053"/>
      <c r="J426" s="1014"/>
      <c r="K426" s="318"/>
      <c r="L426" s="525">
        <f>L420</f>
        <v>146885.68599999999</v>
      </c>
      <c r="M426" s="966"/>
      <c r="N426" s="966"/>
      <c r="O426" s="1053"/>
      <c r="P426" s="86"/>
      <c r="Q426" s="42"/>
      <c r="R426" s="551"/>
      <c r="S426" s="178"/>
      <c r="T426" s="9"/>
      <c r="U426" s="9"/>
      <c r="V426" s="74"/>
      <c r="W426" s="9"/>
      <c r="X426" s="74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316"/>
      <c r="AQ426" s="8"/>
    </row>
    <row r="427" spans="1:43" ht="25.7" hidden="1" customHeight="1" x14ac:dyDescent="0.25">
      <c r="A427" s="1332"/>
      <c r="B427" s="2035"/>
      <c r="C427" s="1186"/>
      <c r="D427" s="1196"/>
      <c r="E427" s="1173"/>
      <c r="F427" s="1501"/>
      <c r="G427" s="1269" t="s">
        <v>1168</v>
      </c>
      <c r="H427" s="1269"/>
      <c r="I427" s="1269"/>
      <c r="J427" s="1014"/>
      <c r="K427" s="318"/>
      <c r="L427" s="1014"/>
      <c r="M427" s="966"/>
      <c r="N427" s="966"/>
      <c r="O427" s="1053"/>
      <c r="P427" s="86"/>
      <c r="Q427" s="42"/>
      <c r="R427" s="534"/>
      <c r="S427" s="178"/>
      <c r="T427" s="9"/>
      <c r="U427" s="9"/>
      <c r="V427" s="74"/>
      <c r="W427" s="9"/>
      <c r="X427" s="74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316"/>
      <c r="AQ427" s="8"/>
    </row>
    <row r="428" spans="1:43" ht="30.2" hidden="1" customHeight="1" x14ac:dyDescent="0.25">
      <c r="A428" s="1332"/>
      <c r="B428" s="2035"/>
      <c r="C428" s="1186"/>
      <c r="D428" s="1196"/>
      <c r="E428" s="1173"/>
      <c r="F428" s="1501"/>
      <c r="G428" s="1269" t="s">
        <v>1170</v>
      </c>
      <c r="H428" s="1269"/>
      <c r="I428" s="1269"/>
      <c r="J428" s="1014"/>
      <c r="K428" s="318"/>
      <c r="L428" s="1014">
        <f>70000</f>
        <v>70000</v>
      </c>
      <c r="M428" s="966"/>
      <c r="N428" s="966"/>
      <c r="O428" s="1053"/>
      <c r="P428" s="86"/>
      <c r="Q428" s="42"/>
      <c r="R428" s="534">
        <f>R420+R422</f>
        <v>105185.45299999999</v>
      </c>
      <c r="S428" s="178"/>
      <c r="T428" s="9"/>
      <c r="U428" s="9"/>
      <c r="V428" s="74"/>
      <c r="W428" s="9"/>
      <c r="X428" s="74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316"/>
      <c r="AQ428" s="8"/>
    </row>
    <row r="429" spans="1:43" ht="34.15" hidden="1" customHeight="1" thickBot="1" x14ac:dyDescent="0.3">
      <c r="A429" s="1332"/>
      <c r="B429" s="2035"/>
      <c r="C429" s="1186"/>
      <c r="D429" s="1196"/>
      <c r="E429" s="1173"/>
      <c r="F429" s="1501"/>
      <c r="G429" s="1269" t="s">
        <v>1169</v>
      </c>
      <c r="H429" s="1269"/>
      <c r="I429" s="1269"/>
      <c r="J429" s="1014"/>
      <c r="K429" s="318"/>
      <c r="L429" s="1014">
        <v>76885.686000000002</v>
      </c>
      <c r="M429" s="966"/>
      <c r="N429" s="966"/>
      <c r="O429" s="1053"/>
      <c r="P429" s="86"/>
      <c r="Q429" s="42"/>
      <c r="R429" s="534"/>
      <c r="S429" s="178"/>
      <c r="T429" s="9"/>
      <c r="U429" s="9"/>
      <c r="V429" s="74"/>
      <c r="W429" s="9"/>
      <c r="X429" s="74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316"/>
      <c r="AQ429" s="8"/>
    </row>
    <row r="430" spans="1:43" ht="23.85" customHeight="1" x14ac:dyDescent="0.25">
      <c r="A430" s="1332"/>
      <c r="B430" s="2035"/>
      <c r="C430" s="1186"/>
      <c r="D430" s="1196"/>
      <c r="E430" s="1173"/>
      <c r="F430" s="1501"/>
      <c r="G430" s="1288" t="s">
        <v>1098</v>
      </c>
      <c r="H430" s="1288" t="s">
        <v>1099</v>
      </c>
      <c r="I430" s="1157" t="s">
        <v>7</v>
      </c>
      <c r="J430" s="155"/>
      <c r="K430" s="264" t="s">
        <v>2</v>
      </c>
      <c r="L430" s="1414">
        <f>L435+L436</f>
        <v>196356.76199999999</v>
      </c>
      <c r="M430" s="1288" t="s">
        <v>1098</v>
      </c>
      <c r="N430" s="1288" t="s">
        <v>1099</v>
      </c>
      <c r="O430" s="1157" t="s">
        <v>7</v>
      </c>
      <c r="P430" s="85">
        <f>33.1-14.829-0.083+0.083</f>
        <v>18.271000000000001</v>
      </c>
      <c r="Q430" s="42" t="s">
        <v>2</v>
      </c>
      <c r="R430" s="1460">
        <f>216321.688-R432-R433</f>
        <v>211664.46739999999</v>
      </c>
      <c r="S430" s="178"/>
      <c r="T430" s="9"/>
      <c r="U430" s="9"/>
      <c r="V430" s="74"/>
      <c r="W430" s="9"/>
      <c r="X430" s="74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316"/>
      <c r="AQ430" s="8"/>
    </row>
    <row r="431" spans="1:43" ht="23.85" customHeight="1" x14ac:dyDescent="0.25">
      <c r="A431" s="1332"/>
      <c r="B431" s="2035"/>
      <c r="C431" s="1186"/>
      <c r="D431" s="1196"/>
      <c r="E431" s="1173"/>
      <c r="F431" s="1501"/>
      <c r="G431" s="1288"/>
      <c r="H431" s="1288"/>
      <c r="I431" s="1157"/>
      <c r="J431" s="155"/>
      <c r="K431" s="264" t="s">
        <v>3</v>
      </c>
      <c r="L431" s="1414"/>
      <c r="M431" s="1288"/>
      <c r="N431" s="1288"/>
      <c r="O431" s="1157"/>
      <c r="P431" s="1061">
        <v>130075</v>
      </c>
      <c r="Q431" s="42" t="s">
        <v>3</v>
      </c>
      <c r="R431" s="1460"/>
      <c r="S431" s="178"/>
      <c r="T431" s="9"/>
      <c r="U431" s="9"/>
      <c r="V431" s="74"/>
      <c r="W431" s="9"/>
      <c r="X431" s="74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316"/>
      <c r="AQ431" s="8"/>
    </row>
    <row r="432" spans="1:43" ht="25.15" customHeight="1" x14ac:dyDescent="0.25">
      <c r="A432" s="1332"/>
      <c r="B432" s="2035"/>
      <c r="C432" s="1186"/>
      <c r="D432" s="1196"/>
      <c r="E432" s="1173"/>
      <c r="F432" s="1501"/>
      <c r="G432" s="1288"/>
      <c r="H432" s="1288"/>
      <c r="I432" s="476" t="s">
        <v>8</v>
      </c>
      <c r="J432" s="155"/>
      <c r="K432" s="264" t="s">
        <v>2</v>
      </c>
      <c r="L432" s="1014">
        <v>0</v>
      </c>
      <c r="M432" s="1288"/>
      <c r="N432" s="1288"/>
      <c r="O432" s="476" t="s">
        <v>8</v>
      </c>
      <c r="P432" s="85">
        <v>62.3934</v>
      </c>
      <c r="Q432" s="42" t="s">
        <v>2</v>
      </c>
      <c r="R432" s="1013">
        <v>3644.9636</v>
      </c>
      <c r="S432" s="178"/>
      <c r="T432" s="9"/>
      <c r="U432" s="9"/>
      <c r="V432" s="74"/>
      <c r="W432" s="9"/>
      <c r="X432" s="74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316"/>
      <c r="AQ432" s="8"/>
    </row>
    <row r="433" spans="1:43" ht="38.25" customHeight="1" thickBot="1" x14ac:dyDescent="0.3">
      <c r="A433" s="1332"/>
      <c r="B433" s="2035"/>
      <c r="C433" s="1186"/>
      <c r="D433" s="1196"/>
      <c r="E433" s="1173"/>
      <c r="F433" s="1501"/>
      <c r="G433" s="1288"/>
      <c r="H433" s="1288"/>
      <c r="I433" s="1053" t="s">
        <v>32</v>
      </c>
      <c r="J433" s="85"/>
      <c r="K433" s="42" t="s">
        <v>10</v>
      </c>
      <c r="L433" s="1014">
        <v>0</v>
      </c>
      <c r="M433" s="1288"/>
      <c r="N433" s="1288"/>
      <c r="O433" s="877" t="s">
        <v>32</v>
      </c>
      <c r="P433" s="85">
        <v>133</v>
      </c>
      <c r="Q433" s="42" t="s">
        <v>10</v>
      </c>
      <c r="R433" s="1013">
        <v>1012.2569999999999</v>
      </c>
      <c r="S433" s="178"/>
      <c r="T433" s="9"/>
      <c r="U433" s="9"/>
      <c r="V433" s="74"/>
      <c r="W433" s="9"/>
      <c r="X433" s="74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316"/>
      <c r="AQ433" s="8"/>
    </row>
    <row r="434" spans="1:43" ht="25.15" hidden="1" customHeight="1" x14ac:dyDescent="0.25">
      <c r="A434" s="1332"/>
      <c r="B434" s="2035"/>
      <c r="C434" s="1186"/>
      <c r="D434" s="1196"/>
      <c r="E434" s="1173"/>
      <c r="F434" s="1501"/>
      <c r="G434" s="1269" t="s">
        <v>1168</v>
      </c>
      <c r="H434" s="1269"/>
      <c r="I434" s="1269"/>
      <c r="J434" s="1014"/>
      <c r="K434" s="887"/>
      <c r="L434" s="1014"/>
      <c r="M434" s="9"/>
      <c r="N434" s="9"/>
      <c r="O434" s="65"/>
      <c r="P434" s="110"/>
      <c r="Q434" s="68"/>
      <c r="R434" s="551"/>
      <c r="S434" s="178"/>
      <c r="T434" s="9"/>
      <c r="U434" s="9"/>
      <c r="V434" s="74"/>
      <c r="W434" s="9"/>
      <c r="X434" s="74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316"/>
      <c r="AQ434" s="8"/>
    </row>
    <row r="435" spans="1:43" ht="25.15" hidden="1" customHeight="1" x14ac:dyDescent="0.25">
      <c r="A435" s="1332"/>
      <c r="B435" s="2035"/>
      <c r="C435" s="1186"/>
      <c r="D435" s="1196"/>
      <c r="E435" s="1173"/>
      <c r="F435" s="1501"/>
      <c r="G435" s="1269" t="s">
        <v>1170</v>
      </c>
      <c r="H435" s="1269"/>
      <c r="I435" s="1269"/>
      <c r="J435" s="1014"/>
      <c r="K435" s="887"/>
      <c r="L435" s="1014"/>
      <c r="M435" s="9"/>
      <c r="N435" s="9"/>
      <c r="O435" s="65"/>
      <c r="P435" s="110"/>
      <c r="Q435" s="68"/>
      <c r="R435" s="551">
        <f>R430+R432</f>
        <v>215309.43099999998</v>
      </c>
      <c r="S435" s="178"/>
      <c r="T435" s="9"/>
      <c r="U435" s="9"/>
      <c r="V435" s="74"/>
      <c r="W435" s="9"/>
      <c r="X435" s="74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316"/>
      <c r="AQ435" s="8"/>
    </row>
    <row r="436" spans="1:43" ht="25.15" hidden="1" customHeight="1" thickBot="1" x14ac:dyDescent="0.3">
      <c r="A436" s="1333"/>
      <c r="B436" s="2036"/>
      <c r="C436" s="1318"/>
      <c r="D436" s="1197"/>
      <c r="E436" s="1174"/>
      <c r="F436" s="1506"/>
      <c r="G436" s="1401" t="s">
        <v>1169</v>
      </c>
      <c r="H436" s="1401"/>
      <c r="I436" s="1401"/>
      <c r="J436" s="163"/>
      <c r="K436" s="888"/>
      <c r="L436" s="163">
        <f>171356.762+25000</f>
        <v>196356.76199999999</v>
      </c>
      <c r="M436" s="331"/>
      <c r="N436" s="331"/>
      <c r="O436" s="220"/>
      <c r="P436" s="616"/>
      <c r="Q436" s="219"/>
      <c r="R436" s="673"/>
      <c r="S436" s="178"/>
      <c r="T436" s="9"/>
      <c r="U436" s="9"/>
      <c r="V436" s="74"/>
      <c r="W436" s="9"/>
      <c r="X436" s="74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316"/>
      <c r="AQ436" s="8"/>
    </row>
    <row r="437" spans="1:43" ht="13.5" hidden="1" customHeight="1" x14ac:dyDescent="0.25">
      <c r="A437" s="925">
        <f>A420+1</f>
        <v>11</v>
      </c>
      <c r="B437" s="893"/>
      <c r="C437" s="996" t="s">
        <v>235</v>
      </c>
      <c r="D437" s="936" t="s">
        <v>473</v>
      </c>
      <c r="E437" s="991">
        <v>8.69</v>
      </c>
      <c r="F437" s="1037">
        <v>71749</v>
      </c>
      <c r="G437" s="369"/>
      <c r="H437" s="369"/>
      <c r="I437" s="360"/>
      <c r="J437" s="154"/>
      <c r="K437" s="898"/>
      <c r="L437" s="154"/>
      <c r="M437" s="1128"/>
      <c r="N437" s="1128"/>
      <c r="O437" s="372"/>
      <c r="P437" s="202"/>
      <c r="Q437" s="187"/>
      <c r="R437" s="674"/>
      <c r="S437" s="178"/>
      <c r="T437" s="9"/>
      <c r="U437" s="9"/>
      <c r="V437" s="74"/>
      <c r="W437" s="9"/>
      <c r="X437" s="74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316"/>
      <c r="AQ437" s="8"/>
    </row>
    <row r="438" spans="1:43" ht="16.7" hidden="1" customHeight="1" x14ac:dyDescent="0.25">
      <c r="A438" s="926">
        <f t="shared" si="3"/>
        <v>12</v>
      </c>
      <c r="B438" s="963"/>
      <c r="C438" s="989" t="s">
        <v>236</v>
      </c>
      <c r="D438" s="937" t="s">
        <v>474</v>
      </c>
      <c r="E438" s="1068">
        <v>8.91</v>
      </c>
      <c r="F438" s="1039">
        <v>54633</v>
      </c>
      <c r="G438" s="359"/>
      <c r="H438" s="359"/>
      <c r="I438" s="942"/>
      <c r="J438" s="525"/>
      <c r="K438" s="887"/>
      <c r="L438" s="525"/>
      <c r="M438" s="27"/>
      <c r="N438" s="27"/>
      <c r="O438" s="361"/>
      <c r="P438" s="110"/>
      <c r="Q438" s="68"/>
      <c r="R438" s="551"/>
      <c r="S438" s="178"/>
      <c r="T438" s="9"/>
      <c r="U438" s="9"/>
      <c r="V438" s="74"/>
      <c r="W438" s="9"/>
      <c r="X438" s="74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316"/>
      <c r="AQ438" s="8"/>
    </row>
    <row r="439" spans="1:43" ht="16.149999999999999" hidden="1" customHeight="1" x14ac:dyDescent="0.25">
      <c r="A439" s="926">
        <f t="shared" si="3"/>
        <v>13</v>
      </c>
      <c r="B439" s="963"/>
      <c r="C439" s="989" t="s">
        <v>79</v>
      </c>
      <c r="D439" s="937" t="s">
        <v>475</v>
      </c>
      <c r="E439" s="1068">
        <v>7.77</v>
      </c>
      <c r="F439" s="1039">
        <v>58127</v>
      </c>
      <c r="G439" s="359"/>
      <c r="H439" s="359"/>
      <c r="I439" s="942"/>
      <c r="J439" s="525"/>
      <c r="K439" s="887"/>
      <c r="L439" s="525"/>
      <c r="M439" s="27"/>
      <c r="N439" s="27"/>
      <c r="O439" s="361"/>
      <c r="P439" s="110"/>
      <c r="Q439" s="68"/>
      <c r="R439" s="551"/>
      <c r="S439" s="178"/>
      <c r="T439" s="9"/>
      <c r="U439" s="9"/>
      <c r="V439" s="74"/>
      <c r="W439" s="9"/>
      <c r="X439" s="74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316"/>
      <c r="AQ439" s="8"/>
    </row>
    <row r="440" spans="1:43" ht="28.35" hidden="1" customHeight="1" x14ac:dyDescent="0.25">
      <c r="A440" s="926">
        <f t="shared" si="3"/>
        <v>14</v>
      </c>
      <c r="B440" s="963"/>
      <c r="C440" s="989" t="s">
        <v>237</v>
      </c>
      <c r="D440" s="937" t="s">
        <v>476</v>
      </c>
      <c r="E440" s="1068">
        <f>13.49+4.58</f>
        <v>18.07</v>
      </c>
      <c r="F440" s="1039">
        <f>63070+20797</f>
        <v>83867</v>
      </c>
      <c r="G440" s="359"/>
      <c r="H440" s="359"/>
      <c r="I440" s="942"/>
      <c r="J440" s="525"/>
      <c r="K440" s="887"/>
      <c r="L440" s="525"/>
      <c r="M440" s="27"/>
      <c r="N440" s="27"/>
      <c r="O440" s="361"/>
      <c r="P440" s="110"/>
      <c r="Q440" s="68"/>
      <c r="R440" s="551"/>
      <c r="S440" s="178"/>
      <c r="T440" s="9"/>
      <c r="U440" s="9"/>
      <c r="V440" s="74"/>
      <c r="W440" s="9"/>
      <c r="X440" s="74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316"/>
      <c r="AQ440" s="8"/>
    </row>
    <row r="441" spans="1:43" ht="28.35" hidden="1" customHeight="1" x14ac:dyDescent="0.25">
      <c r="A441" s="926">
        <f t="shared" si="3"/>
        <v>15</v>
      </c>
      <c r="B441" s="963"/>
      <c r="C441" s="989" t="s">
        <v>238</v>
      </c>
      <c r="D441" s="937" t="s">
        <v>477</v>
      </c>
      <c r="E441" s="1068">
        <f>0.35+31.05</f>
        <v>31.400000000000002</v>
      </c>
      <c r="F441" s="1039">
        <f>2520+240284</f>
        <v>242804</v>
      </c>
      <c r="G441" s="359"/>
      <c r="H441" s="359"/>
      <c r="I441" s="942"/>
      <c r="J441" s="525"/>
      <c r="K441" s="887"/>
      <c r="L441" s="525"/>
      <c r="M441" s="27"/>
      <c r="N441" s="27"/>
      <c r="O441" s="361"/>
      <c r="P441" s="110"/>
      <c r="Q441" s="68"/>
      <c r="R441" s="551"/>
      <c r="S441" s="178"/>
      <c r="T441" s="9"/>
      <c r="U441" s="9"/>
      <c r="V441" s="74"/>
      <c r="W441" s="9"/>
      <c r="X441" s="74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316"/>
      <c r="AQ441" s="8"/>
    </row>
    <row r="442" spans="1:43" ht="14.1" hidden="1" customHeight="1" x14ac:dyDescent="0.25">
      <c r="A442" s="926">
        <f t="shared" si="3"/>
        <v>16</v>
      </c>
      <c r="B442" s="963"/>
      <c r="C442" s="989" t="s">
        <v>239</v>
      </c>
      <c r="D442" s="937" t="s">
        <v>478</v>
      </c>
      <c r="E442" s="1068">
        <v>2.3199999999999998</v>
      </c>
      <c r="F442" s="1039">
        <v>15074</v>
      </c>
      <c r="G442" s="359"/>
      <c r="H442" s="359"/>
      <c r="I442" s="942"/>
      <c r="J442" s="525"/>
      <c r="K442" s="887"/>
      <c r="L442" s="525"/>
      <c r="M442" s="27"/>
      <c r="N442" s="27"/>
      <c r="O442" s="361"/>
      <c r="P442" s="110"/>
      <c r="Q442" s="68"/>
      <c r="R442" s="551"/>
      <c r="S442" s="178"/>
      <c r="T442" s="9"/>
      <c r="U442" s="9"/>
      <c r="V442" s="74"/>
      <c r="W442" s="9"/>
      <c r="X442" s="74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316"/>
      <c r="AQ442" s="8"/>
    </row>
    <row r="443" spans="1:43" ht="16.7" hidden="1" customHeight="1" x14ac:dyDescent="0.25">
      <c r="A443" s="926">
        <f t="shared" si="3"/>
        <v>17</v>
      </c>
      <c r="B443" s="963"/>
      <c r="C443" s="989" t="s">
        <v>240</v>
      </c>
      <c r="D443" s="937" t="s">
        <v>479</v>
      </c>
      <c r="E443" s="1068">
        <v>1.61</v>
      </c>
      <c r="F443" s="1039">
        <v>7673</v>
      </c>
      <c r="G443" s="359"/>
      <c r="H443" s="359"/>
      <c r="I443" s="942"/>
      <c r="J443" s="525"/>
      <c r="K443" s="887"/>
      <c r="L443" s="525"/>
      <c r="M443" s="27"/>
      <c r="N443" s="27"/>
      <c r="O443" s="361"/>
      <c r="P443" s="110"/>
      <c r="Q443" s="68"/>
      <c r="R443" s="551"/>
      <c r="S443" s="178"/>
      <c r="T443" s="9"/>
      <c r="U443" s="9"/>
      <c r="V443" s="74"/>
      <c r="W443" s="9"/>
      <c r="X443" s="74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316"/>
      <c r="AQ443" s="8"/>
    </row>
    <row r="444" spans="1:43" ht="28.9" hidden="1" customHeight="1" x14ac:dyDescent="0.25">
      <c r="A444" s="926">
        <f t="shared" si="3"/>
        <v>18</v>
      </c>
      <c r="B444" s="963"/>
      <c r="C444" s="989" t="s">
        <v>924</v>
      </c>
      <c r="D444" s="937" t="s">
        <v>480</v>
      </c>
      <c r="E444" s="1068">
        <v>5.8</v>
      </c>
      <c r="F444" s="1039">
        <v>26552</v>
      </c>
      <c r="G444" s="359"/>
      <c r="H444" s="359"/>
      <c r="I444" s="942"/>
      <c r="J444" s="525"/>
      <c r="K444" s="887"/>
      <c r="L444" s="525"/>
      <c r="M444" s="27"/>
      <c r="N444" s="27"/>
      <c r="O444" s="361"/>
      <c r="P444" s="110"/>
      <c r="Q444" s="68"/>
      <c r="R444" s="551"/>
      <c r="S444" s="178"/>
      <c r="T444" s="9"/>
      <c r="U444" s="9"/>
      <c r="V444" s="74"/>
      <c r="W444" s="9"/>
      <c r="X444" s="74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316"/>
      <c r="AQ444" s="8"/>
    </row>
    <row r="445" spans="1:43" ht="14.1" hidden="1" customHeight="1" x14ac:dyDescent="0.25">
      <c r="A445" s="926">
        <f t="shared" si="3"/>
        <v>19</v>
      </c>
      <c r="B445" s="963"/>
      <c r="C445" s="989" t="s">
        <v>241</v>
      </c>
      <c r="D445" s="937" t="s">
        <v>481</v>
      </c>
      <c r="E445" s="1068">
        <v>3.7</v>
      </c>
      <c r="F445" s="1039">
        <v>18231</v>
      </c>
      <c r="G445" s="359"/>
      <c r="H445" s="359"/>
      <c r="I445" s="942"/>
      <c r="J445" s="525"/>
      <c r="K445" s="887"/>
      <c r="L445" s="525"/>
      <c r="M445" s="27"/>
      <c r="N445" s="27"/>
      <c r="O445" s="361"/>
      <c r="P445" s="110"/>
      <c r="Q445" s="68"/>
      <c r="R445" s="551"/>
      <c r="S445" s="178"/>
      <c r="T445" s="9"/>
      <c r="U445" s="9"/>
      <c r="V445" s="74"/>
      <c r="W445" s="9"/>
      <c r="X445" s="74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316"/>
      <c r="AQ445" s="8"/>
    </row>
    <row r="446" spans="1:43" ht="31.5" hidden="1" customHeight="1" x14ac:dyDescent="0.25">
      <c r="A446" s="926">
        <f t="shared" si="3"/>
        <v>20</v>
      </c>
      <c r="B446" s="963"/>
      <c r="C446" s="989" t="s">
        <v>925</v>
      </c>
      <c r="D446" s="937" t="s">
        <v>482</v>
      </c>
      <c r="E446" s="1068">
        <v>1.276</v>
      </c>
      <c r="F446" s="1039">
        <v>6164</v>
      </c>
      <c r="G446" s="359"/>
      <c r="H446" s="359"/>
      <c r="I446" s="942"/>
      <c r="J446" s="525"/>
      <c r="K446" s="887"/>
      <c r="L446" s="525"/>
      <c r="M446" s="27"/>
      <c r="N446" s="27"/>
      <c r="O446" s="361"/>
      <c r="P446" s="110"/>
      <c r="Q446" s="68"/>
      <c r="R446" s="551"/>
      <c r="S446" s="178"/>
      <c r="T446" s="9"/>
      <c r="U446" s="9"/>
      <c r="V446" s="74"/>
      <c r="W446" s="9"/>
      <c r="X446" s="74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316"/>
      <c r="AQ446" s="8"/>
    </row>
    <row r="447" spans="1:43" ht="17.649999999999999" hidden="1" customHeight="1" x14ac:dyDescent="0.25">
      <c r="A447" s="926">
        <f t="shared" si="3"/>
        <v>21</v>
      </c>
      <c r="B447" s="963"/>
      <c r="C447" s="989" t="s">
        <v>242</v>
      </c>
      <c r="D447" s="937" t="s">
        <v>483</v>
      </c>
      <c r="E447" s="1068">
        <v>4.41</v>
      </c>
      <c r="F447" s="1039">
        <v>35157</v>
      </c>
      <c r="G447" s="359"/>
      <c r="H447" s="359"/>
      <c r="I447" s="942"/>
      <c r="J447" s="525"/>
      <c r="K447" s="887"/>
      <c r="L447" s="525"/>
      <c r="M447" s="27"/>
      <c r="N447" s="27"/>
      <c r="O447" s="361"/>
      <c r="P447" s="110"/>
      <c r="Q447" s="68"/>
      <c r="R447" s="551"/>
      <c r="S447" s="178"/>
      <c r="T447" s="9"/>
      <c r="U447" s="9"/>
      <c r="V447" s="74"/>
      <c r="W447" s="9"/>
      <c r="X447" s="74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316"/>
      <c r="AQ447" s="8"/>
    </row>
    <row r="448" spans="1:43" ht="16.149999999999999" hidden="1" customHeight="1" x14ac:dyDescent="0.25">
      <c r="A448" s="926">
        <f t="shared" si="3"/>
        <v>22</v>
      </c>
      <c r="B448" s="963"/>
      <c r="C448" s="989" t="s">
        <v>80</v>
      </c>
      <c r="D448" s="937" t="s">
        <v>484</v>
      </c>
      <c r="E448" s="1068">
        <v>6.9619999999999997</v>
      </c>
      <c r="F448" s="1039">
        <v>53129</v>
      </c>
      <c r="G448" s="359"/>
      <c r="H448" s="359"/>
      <c r="I448" s="942"/>
      <c r="J448" s="525"/>
      <c r="K448" s="887"/>
      <c r="L448" s="525"/>
      <c r="M448" s="27"/>
      <c r="N448" s="27"/>
      <c r="O448" s="361"/>
      <c r="P448" s="110"/>
      <c r="Q448" s="68"/>
      <c r="R448" s="551"/>
      <c r="S448" s="178"/>
      <c r="T448" s="9"/>
      <c r="U448" s="9"/>
      <c r="V448" s="74"/>
      <c r="W448" s="9"/>
      <c r="X448" s="74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316"/>
      <c r="AQ448" s="8"/>
    </row>
    <row r="449" spans="1:43" ht="14.85" hidden="1" customHeight="1" x14ac:dyDescent="0.25">
      <c r="A449" s="926">
        <f t="shared" si="3"/>
        <v>23</v>
      </c>
      <c r="B449" s="963"/>
      <c r="C449" s="989" t="s">
        <v>81</v>
      </c>
      <c r="D449" s="937" t="s">
        <v>485</v>
      </c>
      <c r="E449" s="1068">
        <v>1.36</v>
      </c>
      <c r="F449" s="1039">
        <v>6591</v>
      </c>
      <c r="G449" s="359"/>
      <c r="H449" s="359"/>
      <c r="I449" s="942"/>
      <c r="J449" s="525"/>
      <c r="K449" s="887"/>
      <c r="L449" s="525"/>
      <c r="M449" s="27"/>
      <c r="N449" s="27"/>
      <c r="O449" s="361"/>
      <c r="P449" s="110"/>
      <c r="Q449" s="68"/>
      <c r="R449" s="551"/>
      <c r="S449" s="178"/>
      <c r="T449" s="9"/>
      <c r="U449" s="9"/>
      <c r="V449" s="74"/>
      <c r="W449" s="9"/>
      <c r="X449" s="74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316"/>
      <c r="AQ449" s="8"/>
    </row>
    <row r="450" spans="1:43" ht="16.149999999999999" hidden="1" customHeight="1" x14ac:dyDescent="0.25">
      <c r="A450" s="926">
        <f t="shared" si="3"/>
        <v>24</v>
      </c>
      <c r="B450" s="963"/>
      <c r="C450" s="989" t="s">
        <v>243</v>
      </c>
      <c r="D450" s="937" t="s">
        <v>486</v>
      </c>
      <c r="E450" s="1068">
        <v>6.9139999999999997</v>
      </c>
      <c r="F450" s="1039">
        <v>32838</v>
      </c>
      <c r="G450" s="359"/>
      <c r="H450" s="359"/>
      <c r="I450" s="942"/>
      <c r="J450" s="525"/>
      <c r="K450" s="887"/>
      <c r="L450" s="525"/>
      <c r="M450" s="27"/>
      <c r="N450" s="27"/>
      <c r="O450" s="361"/>
      <c r="P450" s="110"/>
      <c r="Q450" s="68"/>
      <c r="R450" s="551"/>
      <c r="S450" s="178"/>
      <c r="T450" s="9"/>
      <c r="U450" s="9"/>
      <c r="V450" s="74"/>
      <c r="W450" s="9"/>
      <c r="X450" s="74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316"/>
      <c r="AQ450" s="8"/>
    </row>
    <row r="451" spans="1:43" ht="17.649999999999999" hidden="1" customHeight="1" x14ac:dyDescent="0.25">
      <c r="A451" s="926">
        <f t="shared" si="3"/>
        <v>25</v>
      </c>
      <c r="B451" s="963"/>
      <c r="C451" s="989" t="s">
        <v>244</v>
      </c>
      <c r="D451" s="937" t="s">
        <v>487</v>
      </c>
      <c r="E451" s="1068">
        <v>3.585</v>
      </c>
      <c r="F451" s="1039">
        <v>16590</v>
      </c>
      <c r="G451" s="359"/>
      <c r="H451" s="359"/>
      <c r="I451" s="942"/>
      <c r="J451" s="525"/>
      <c r="K451" s="887"/>
      <c r="L451" s="525"/>
      <c r="M451" s="27"/>
      <c r="N451" s="27"/>
      <c r="O451" s="361"/>
      <c r="P451" s="110"/>
      <c r="Q451" s="68"/>
      <c r="R451" s="551"/>
      <c r="S451" s="178"/>
      <c r="T451" s="9"/>
      <c r="U451" s="9"/>
      <c r="V451" s="74"/>
      <c r="W451" s="9"/>
      <c r="X451" s="74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316"/>
      <c r="AQ451" s="8"/>
    </row>
    <row r="452" spans="1:43" ht="13.15" hidden="1" customHeight="1" x14ac:dyDescent="0.25">
      <c r="A452" s="926">
        <f t="shared" si="3"/>
        <v>26</v>
      </c>
      <c r="B452" s="963"/>
      <c r="C452" s="989" t="s">
        <v>245</v>
      </c>
      <c r="D452" s="937" t="s">
        <v>488</v>
      </c>
      <c r="E452" s="1068">
        <v>5.8319999999999999</v>
      </c>
      <c r="F452" s="1039">
        <v>27442</v>
      </c>
      <c r="G452" s="359"/>
      <c r="H452" s="359"/>
      <c r="I452" s="942"/>
      <c r="J452" s="525"/>
      <c r="K452" s="887"/>
      <c r="L452" s="525"/>
      <c r="M452" s="27"/>
      <c r="N452" s="27"/>
      <c r="O452" s="361"/>
      <c r="P452" s="110"/>
      <c r="Q452" s="68"/>
      <c r="R452" s="551"/>
      <c r="S452" s="178"/>
      <c r="T452" s="9"/>
      <c r="U452" s="9"/>
      <c r="V452" s="74"/>
      <c r="W452" s="9"/>
      <c r="X452" s="74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316"/>
      <c r="AQ452" s="8"/>
    </row>
    <row r="453" spans="1:43" ht="15.4" hidden="1" customHeight="1" x14ac:dyDescent="0.25">
      <c r="A453" s="926">
        <f t="shared" si="3"/>
        <v>27</v>
      </c>
      <c r="B453" s="963"/>
      <c r="C453" s="989" t="s">
        <v>246</v>
      </c>
      <c r="D453" s="937" t="s">
        <v>489</v>
      </c>
      <c r="E453" s="1068">
        <v>7.6</v>
      </c>
      <c r="F453" s="1039">
        <v>46393</v>
      </c>
      <c r="G453" s="359"/>
      <c r="H453" s="359"/>
      <c r="I453" s="942"/>
      <c r="J453" s="525"/>
      <c r="K453" s="887"/>
      <c r="L453" s="525"/>
      <c r="M453" s="27"/>
      <c r="N453" s="27"/>
      <c r="O453" s="361"/>
      <c r="P453" s="110"/>
      <c r="Q453" s="68"/>
      <c r="R453" s="551"/>
      <c r="S453" s="178"/>
      <c r="T453" s="9"/>
      <c r="U453" s="9"/>
      <c r="V453" s="74"/>
      <c r="W453" s="9"/>
      <c r="X453" s="74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316"/>
      <c r="AQ453" s="8"/>
    </row>
    <row r="454" spans="1:43" ht="28.9" hidden="1" customHeight="1" x14ac:dyDescent="0.25">
      <c r="A454" s="926">
        <f t="shared" si="3"/>
        <v>28</v>
      </c>
      <c r="B454" s="963"/>
      <c r="C454" s="989" t="s">
        <v>247</v>
      </c>
      <c r="D454" s="937" t="s">
        <v>490</v>
      </c>
      <c r="E454" s="1068">
        <v>0.82</v>
      </c>
      <c r="F454" s="1039">
        <v>3946</v>
      </c>
      <c r="G454" s="359"/>
      <c r="H454" s="359"/>
      <c r="I454" s="942"/>
      <c r="J454" s="525"/>
      <c r="K454" s="887"/>
      <c r="L454" s="525"/>
      <c r="M454" s="27"/>
      <c r="N454" s="27"/>
      <c r="O454" s="361"/>
      <c r="P454" s="110"/>
      <c r="Q454" s="68"/>
      <c r="R454" s="551"/>
      <c r="S454" s="178"/>
      <c r="T454" s="9"/>
      <c r="U454" s="9"/>
      <c r="V454" s="74"/>
      <c r="W454" s="9"/>
      <c r="X454" s="74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316"/>
      <c r="AQ454" s="8"/>
    </row>
    <row r="455" spans="1:43" ht="19.350000000000001" hidden="1" customHeight="1" x14ac:dyDescent="0.25">
      <c r="A455" s="926">
        <f t="shared" si="3"/>
        <v>29</v>
      </c>
      <c r="B455" s="963"/>
      <c r="C455" s="989" t="s">
        <v>248</v>
      </c>
      <c r="D455" s="937" t="s">
        <v>491</v>
      </c>
      <c r="E455" s="1068">
        <v>8.5500000000000007</v>
      </c>
      <c r="F455" s="1039">
        <v>48103</v>
      </c>
      <c r="G455" s="359"/>
      <c r="H455" s="359"/>
      <c r="I455" s="942"/>
      <c r="J455" s="525"/>
      <c r="K455" s="887"/>
      <c r="L455" s="525"/>
      <c r="M455" s="27"/>
      <c r="N455" s="27"/>
      <c r="O455" s="361"/>
      <c r="P455" s="110"/>
      <c r="Q455" s="68"/>
      <c r="R455" s="551"/>
      <c r="S455" s="178"/>
      <c r="T455" s="9"/>
      <c r="U455" s="9"/>
      <c r="V455" s="74"/>
      <c r="W455" s="9"/>
      <c r="X455" s="74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316"/>
      <c r="AQ455" s="8"/>
    </row>
    <row r="456" spans="1:43" ht="14.1" hidden="1" customHeight="1" x14ac:dyDescent="0.25">
      <c r="A456" s="926">
        <f t="shared" si="3"/>
        <v>30</v>
      </c>
      <c r="B456" s="963"/>
      <c r="C456" s="989" t="s">
        <v>82</v>
      </c>
      <c r="D456" s="937" t="s">
        <v>492</v>
      </c>
      <c r="E456" s="1068">
        <v>3.54</v>
      </c>
      <c r="F456" s="1039">
        <v>17027</v>
      </c>
      <c r="G456" s="359"/>
      <c r="H456" s="359"/>
      <c r="I456" s="942"/>
      <c r="J456" s="525"/>
      <c r="K456" s="887"/>
      <c r="L456" s="525"/>
      <c r="M456" s="27"/>
      <c r="N456" s="27"/>
      <c r="O456" s="361"/>
      <c r="P456" s="110"/>
      <c r="Q456" s="68"/>
      <c r="R456" s="551"/>
      <c r="S456" s="178"/>
      <c r="T456" s="9"/>
      <c r="U456" s="9"/>
      <c r="V456" s="74"/>
      <c r="W456" s="9"/>
      <c r="X456" s="74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316"/>
      <c r="AQ456" s="8"/>
    </row>
    <row r="457" spans="1:43" ht="16.7" hidden="1" customHeight="1" x14ac:dyDescent="0.25">
      <c r="A457" s="926">
        <f t="shared" si="3"/>
        <v>31</v>
      </c>
      <c r="B457" s="963"/>
      <c r="C457" s="989" t="s">
        <v>98</v>
      </c>
      <c r="D457" s="937" t="s">
        <v>493</v>
      </c>
      <c r="E457" s="1068">
        <v>1.905</v>
      </c>
      <c r="F457" s="1039">
        <v>14847</v>
      </c>
      <c r="G457" s="359"/>
      <c r="H457" s="359"/>
      <c r="I457" s="942"/>
      <c r="J457" s="525"/>
      <c r="K457" s="887"/>
      <c r="L457" s="525"/>
      <c r="M457" s="27"/>
      <c r="N457" s="27"/>
      <c r="O457" s="361"/>
      <c r="P457" s="110"/>
      <c r="Q457" s="68"/>
      <c r="R457" s="551"/>
      <c r="S457" s="178"/>
      <c r="T457" s="9"/>
      <c r="U457" s="9"/>
      <c r="V457" s="74"/>
      <c r="W457" s="9"/>
      <c r="X457" s="74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316"/>
      <c r="AQ457" s="8"/>
    </row>
    <row r="458" spans="1:43" ht="32.1" hidden="1" customHeight="1" x14ac:dyDescent="0.25">
      <c r="A458" s="926">
        <f t="shared" ref="A458:A531" si="4">A457+1</f>
        <v>32</v>
      </c>
      <c r="B458" s="963"/>
      <c r="C458" s="989" t="s">
        <v>249</v>
      </c>
      <c r="D458" s="937" t="s">
        <v>494</v>
      </c>
      <c r="E458" s="1068">
        <v>2</v>
      </c>
      <c r="F458" s="1039">
        <v>9186</v>
      </c>
      <c r="G458" s="359"/>
      <c r="H458" s="359"/>
      <c r="I458" s="942"/>
      <c r="J458" s="525"/>
      <c r="K458" s="887"/>
      <c r="L458" s="525"/>
      <c r="M458" s="27"/>
      <c r="N458" s="27"/>
      <c r="O458" s="361"/>
      <c r="P458" s="110"/>
      <c r="Q458" s="68"/>
      <c r="R458" s="551"/>
      <c r="S458" s="178"/>
      <c r="T458" s="9"/>
      <c r="U458" s="9"/>
      <c r="V458" s="74"/>
      <c r="W458" s="9"/>
      <c r="X458" s="74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316"/>
      <c r="AQ458" s="8"/>
    </row>
    <row r="459" spans="1:43" ht="14.1" hidden="1" customHeight="1" x14ac:dyDescent="0.25">
      <c r="A459" s="926">
        <f t="shared" si="4"/>
        <v>33</v>
      </c>
      <c r="B459" s="963"/>
      <c r="C459" s="989" t="s">
        <v>83</v>
      </c>
      <c r="D459" s="937" t="s">
        <v>495</v>
      </c>
      <c r="E459" s="1068">
        <v>3.1</v>
      </c>
      <c r="F459" s="1039">
        <v>14794</v>
      </c>
      <c r="G459" s="359"/>
      <c r="H459" s="359"/>
      <c r="I459" s="942"/>
      <c r="J459" s="525"/>
      <c r="K459" s="887"/>
      <c r="L459" s="525"/>
      <c r="M459" s="27"/>
      <c r="N459" s="27"/>
      <c r="O459" s="361"/>
      <c r="P459" s="110"/>
      <c r="Q459" s="68"/>
      <c r="R459" s="551"/>
      <c r="S459" s="178"/>
      <c r="T459" s="9"/>
      <c r="U459" s="9"/>
      <c r="V459" s="74"/>
      <c r="W459" s="9"/>
      <c r="X459" s="74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316"/>
      <c r="AQ459" s="8"/>
    </row>
    <row r="460" spans="1:43" ht="16.7" hidden="1" customHeight="1" x14ac:dyDescent="0.25">
      <c r="A460" s="926">
        <f t="shared" si="4"/>
        <v>34</v>
      </c>
      <c r="B460" s="963"/>
      <c r="C460" s="989" t="s">
        <v>250</v>
      </c>
      <c r="D460" s="937" t="s">
        <v>496</v>
      </c>
      <c r="E460" s="1068">
        <v>3.4649999999999999</v>
      </c>
      <c r="F460" s="1039">
        <v>18986</v>
      </c>
      <c r="G460" s="359"/>
      <c r="H460" s="359"/>
      <c r="I460" s="942"/>
      <c r="J460" s="525"/>
      <c r="K460" s="887"/>
      <c r="L460" s="525"/>
      <c r="M460" s="27"/>
      <c r="N460" s="27"/>
      <c r="O460" s="361"/>
      <c r="P460" s="110"/>
      <c r="Q460" s="68"/>
      <c r="R460" s="551"/>
      <c r="S460" s="178"/>
      <c r="T460" s="9"/>
      <c r="U460" s="9"/>
      <c r="V460" s="74"/>
      <c r="W460" s="9"/>
      <c r="X460" s="74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316"/>
      <c r="AQ460" s="8"/>
    </row>
    <row r="461" spans="1:43" ht="16.7" hidden="1" customHeight="1" x14ac:dyDescent="0.25">
      <c r="A461" s="926"/>
      <c r="B461" s="963"/>
      <c r="C461" s="46" t="s">
        <v>869</v>
      </c>
      <c r="D461" s="937"/>
      <c r="E461" s="1068"/>
      <c r="F461" s="1039"/>
      <c r="G461" s="359"/>
      <c r="H461" s="359"/>
      <c r="I461" s="942"/>
      <c r="J461" s="525"/>
      <c r="K461" s="887"/>
      <c r="L461" s="525"/>
      <c r="M461" s="27"/>
      <c r="N461" s="27"/>
      <c r="O461" s="361"/>
      <c r="P461" s="110"/>
      <c r="Q461" s="68"/>
      <c r="R461" s="551"/>
      <c r="S461" s="178"/>
      <c r="T461" s="9"/>
      <c r="U461" s="9"/>
      <c r="V461" s="74"/>
      <c r="W461" s="9"/>
      <c r="X461" s="74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316"/>
      <c r="AQ461" s="8"/>
    </row>
    <row r="462" spans="1:43" ht="17.649999999999999" hidden="1" customHeight="1" x14ac:dyDescent="0.25">
      <c r="A462" s="926">
        <f>A460+1</f>
        <v>35</v>
      </c>
      <c r="B462" s="963"/>
      <c r="C462" s="989" t="s">
        <v>926</v>
      </c>
      <c r="D462" s="937" t="s">
        <v>497</v>
      </c>
      <c r="E462" s="1068">
        <v>4.0999999999999996</v>
      </c>
      <c r="F462" s="1039">
        <v>34093</v>
      </c>
      <c r="G462" s="359"/>
      <c r="H462" s="359"/>
      <c r="I462" s="942"/>
      <c r="J462" s="525"/>
      <c r="K462" s="887"/>
      <c r="L462" s="525"/>
      <c r="M462" s="27"/>
      <c r="N462" s="27"/>
      <c r="O462" s="361"/>
      <c r="P462" s="110"/>
      <c r="Q462" s="68"/>
      <c r="R462" s="551"/>
      <c r="S462" s="178"/>
      <c r="T462" s="9"/>
      <c r="U462" s="9"/>
      <c r="V462" s="74"/>
      <c r="W462" s="9"/>
      <c r="X462" s="74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316"/>
      <c r="AQ462" s="8"/>
    </row>
    <row r="463" spans="1:43" ht="28.9" hidden="1" customHeight="1" thickBot="1" x14ac:dyDescent="0.3">
      <c r="A463" s="926">
        <f t="shared" si="4"/>
        <v>36</v>
      </c>
      <c r="B463" s="963"/>
      <c r="C463" s="989" t="s">
        <v>251</v>
      </c>
      <c r="D463" s="937" t="s">
        <v>498</v>
      </c>
      <c r="E463" s="1068">
        <v>0.95299999999999996</v>
      </c>
      <c r="F463" s="1039">
        <v>8711</v>
      </c>
      <c r="G463" s="359"/>
      <c r="H463" s="359"/>
      <c r="I463" s="942"/>
      <c r="J463" s="525"/>
      <c r="K463" s="887"/>
      <c r="L463" s="525"/>
      <c r="M463" s="27"/>
      <c r="N463" s="27"/>
      <c r="O463" s="361"/>
      <c r="P463" s="110"/>
      <c r="Q463" s="68"/>
      <c r="R463" s="551"/>
      <c r="S463" s="233"/>
      <c r="T463" s="1045"/>
      <c r="U463" s="1045"/>
      <c r="V463" s="234"/>
      <c r="W463" s="1045"/>
      <c r="X463" s="234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51"/>
      <c r="AL463" s="51"/>
      <c r="AM463" s="51"/>
      <c r="AN463" s="51"/>
      <c r="AO463" s="51"/>
      <c r="AP463" s="316"/>
      <c r="AQ463" s="8"/>
    </row>
    <row r="464" spans="1:43" ht="82.9" customHeight="1" x14ac:dyDescent="0.25">
      <c r="A464" s="1320">
        <v>11</v>
      </c>
      <c r="B464" s="1320">
        <v>1960093</v>
      </c>
      <c r="C464" s="1186" t="s">
        <v>1108</v>
      </c>
      <c r="D464" s="1320" t="s">
        <v>499</v>
      </c>
      <c r="E464" s="1173">
        <v>9.6999999999999993</v>
      </c>
      <c r="F464" s="1501">
        <v>57061</v>
      </c>
      <c r="G464" s="1280" t="s">
        <v>1031</v>
      </c>
      <c r="H464" s="1280" t="s">
        <v>1115</v>
      </c>
      <c r="I464" s="1402" t="s">
        <v>1179</v>
      </c>
      <c r="J464" s="269">
        <v>9.1</v>
      </c>
      <c r="K464" s="1110" t="s">
        <v>2</v>
      </c>
      <c r="L464" s="1286">
        <v>101991.62300000001</v>
      </c>
      <c r="M464" s="1280" t="s">
        <v>1031</v>
      </c>
      <c r="N464" s="1280" t="s">
        <v>1115</v>
      </c>
      <c r="O464" s="1190" t="s">
        <v>1181</v>
      </c>
      <c r="P464" s="269"/>
      <c r="Q464" s="1110" t="s">
        <v>2</v>
      </c>
      <c r="R464" s="1286">
        <v>3319.471</v>
      </c>
      <c r="S464" s="1303" t="s">
        <v>1031</v>
      </c>
      <c r="T464" s="1303" t="s">
        <v>1115</v>
      </c>
      <c r="U464" s="1190" t="s">
        <v>1181</v>
      </c>
      <c r="V464" s="190"/>
      <c r="W464" s="182" t="s">
        <v>2</v>
      </c>
      <c r="X464" s="1298">
        <v>3488.7640000000001</v>
      </c>
      <c r="Y464" s="1303" t="s">
        <v>1031</v>
      </c>
      <c r="Z464" s="1303" t="s">
        <v>1115</v>
      </c>
      <c r="AA464" s="1190" t="s">
        <v>1181</v>
      </c>
      <c r="AB464" s="986"/>
      <c r="AC464" s="182" t="s">
        <v>2</v>
      </c>
      <c r="AD464" s="1846">
        <v>3652.7359999999999</v>
      </c>
      <c r="AE464" s="1303" t="s">
        <v>1031</v>
      </c>
      <c r="AF464" s="1303" t="s">
        <v>1115</v>
      </c>
      <c r="AG464" s="1190" t="s">
        <v>1181</v>
      </c>
      <c r="AH464" s="986"/>
      <c r="AI464" s="182" t="s">
        <v>2</v>
      </c>
      <c r="AJ464" s="1449">
        <v>3831.72</v>
      </c>
      <c r="AK464" s="314"/>
      <c r="AL464" s="51"/>
      <c r="AM464" s="51"/>
      <c r="AN464" s="51"/>
      <c r="AO464" s="51"/>
      <c r="AP464" s="316"/>
      <c r="AQ464" s="1158" t="s">
        <v>1218</v>
      </c>
    </row>
    <row r="465" spans="1:43" ht="82.9" customHeight="1" thickBot="1" x14ac:dyDescent="0.3">
      <c r="A465" s="1320"/>
      <c r="B465" s="1320"/>
      <c r="C465" s="1186"/>
      <c r="D465" s="1320"/>
      <c r="E465" s="1173"/>
      <c r="F465" s="1501"/>
      <c r="G465" s="1163"/>
      <c r="H465" s="1163"/>
      <c r="I465" s="1161"/>
      <c r="J465" s="987">
        <v>51390</v>
      </c>
      <c r="K465" s="173" t="s">
        <v>3</v>
      </c>
      <c r="L465" s="1287"/>
      <c r="M465" s="1163"/>
      <c r="N465" s="1163"/>
      <c r="O465" s="1161"/>
      <c r="P465" s="987"/>
      <c r="Q465" s="173" t="s">
        <v>3</v>
      </c>
      <c r="R465" s="1287"/>
      <c r="S465" s="1163"/>
      <c r="T465" s="1163"/>
      <c r="U465" s="1161"/>
      <c r="V465" s="987"/>
      <c r="W465" s="173" t="s">
        <v>3</v>
      </c>
      <c r="X465" s="1299"/>
      <c r="Y465" s="1163"/>
      <c r="Z465" s="1163"/>
      <c r="AA465" s="1161"/>
      <c r="AB465" s="987"/>
      <c r="AC465" s="173" t="s">
        <v>3</v>
      </c>
      <c r="AD465" s="1847"/>
      <c r="AE465" s="1163"/>
      <c r="AF465" s="1163"/>
      <c r="AG465" s="1161"/>
      <c r="AH465" s="987"/>
      <c r="AI465" s="177" t="s">
        <v>3</v>
      </c>
      <c r="AJ465" s="1450"/>
      <c r="AK465" s="314"/>
      <c r="AL465" s="51"/>
      <c r="AM465" s="51"/>
      <c r="AN465" s="51"/>
      <c r="AO465" s="51"/>
      <c r="AP465" s="316"/>
      <c r="AQ465" s="1159"/>
    </row>
    <row r="466" spans="1:43" ht="27.6" hidden="1" customHeight="1" x14ac:dyDescent="0.25">
      <c r="A466" s="61">
        <f>A464+1</f>
        <v>12</v>
      </c>
      <c r="B466" s="893"/>
      <c r="C466" s="996" t="s">
        <v>252</v>
      </c>
      <c r="D466" s="936" t="s">
        <v>500</v>
      </c>
      <c r="E466" s="991">
        <v>4</v>
      </c>
      <c r="F466" s="1037">
        <v>27222</v>
      </c>
      <c r="G466" s="369"/>
      <c r="H466" s="369"/>
      <c r="I466" s="360"/>
      <c r="J466" s="154"/>
      <c r="K466" s="898"/>
      <c r="L466" s="896"/>
      <c r="M466" s="1128"/>
      <c r="N466" s="1128"/>
      <c r="O466" s="372"/>
      <c r="P466" s="186"/>
      <c r="Q466" s="187"/>
      <c r="R466" s="550"/>
      <c r="S466" s="1046"/>
      <c r="T466" s="1046"/>
      <c r="U466" s="1046"/>
      <c r="V466" s="232"/>
      <c r="W466" s="1046"/>
      <c r="X466" s="87"/>
      <c r="Y466" s="1046"/>
      <c r="Z466" s="1046"/>
      <c r="AA466" s="1046"/>
      <c r="AB466" s="1046"/>
      <c r="AC466" s="1046"/>
      <c r="AD466" s="228"/>
      <c r="AE466" s="319"/>
      <c r="AF466" s="319"/>
      <c r="AG466" s="319"/>
      <c r="AH466" s="319"/>
      <c r="AI466" s="319"/>
      <c r="AJ466" s="228"/>
      <c r="AK466" s="51"/>
      <c r="AL466" s="51"/>
      <c r="AM466" s="51"/>
      <c r="AN466" s="51"/>
      <c r="AO466" s="51"/>
      <c r="AP466" s="316"/>
      <c r="AQ466" s="8"/>
    </row>
    <row r="467" spans="1:43" ht="29.65" hidden="1" customHeight="1" x14ac:dyDescent="0.25">
      <c r="A467" s="11">
        <f t="shared" si="4"/>
        <v>13</v>
      </c>
      <c r="B467" s="963"/>
      <c r="C467" s="989" t="s">
        <v>872</v>
      </c>
      <c r="D467" s="936" t="s">
        <v>501</v>
      </c>
      <c r="E467" s="1068">
        <f>21.487+11.44</f>
        <v>32.927</v>
      </c>
      <c r="F467" s="1039">
        <f>132555+68493</f>
        <v>201048</v>
      </c>
      <c r="G467" s="359"/>
      <c r="H467" s="359"/>
      <c r="I467" s="360"/>
      <c r="J467" s="525"/>
      <c r="K467" s="898"/>
      <c r="L467" s="1012"/>
      <c r="M467" s="27"/>
      <c r="N467" s="27"/>
      <c r="O467" s="361"/>
      <c r="P467" s="137"/>
      <c r="Q467" s="68"/>
      <c r="R467" s="548"/>
      <c r="S467" s="9"/>
      <c r="T467" s="9"/>
      <c r="U467" s="9"/>
      <c r="V467" s="74"/>
      <c r="W467" s="9"/>
      <c r="X467" s="262"/>
      <c r="Y467" s="9"/>
      <c r="Z467" s="9"/>
      <c r="AA467" s="9"/>
      <c r="AB467" s="9"/>
      <c r="AC467" s="9"/>
      <c r="AD467" s="65"/>
      <c r="AE467" s="51"/>
      <c r="AF467" s="51"/>
      <c r="AG467" s="51"/>
      <c r="AH467" s="51"/>
      <c r="AI467" s="51"/>
      <c r="AJ467" s="65"/>
      <c r="AK467" s="51"/>
      <c r="AL467" s="51"/>
      <c r="AM467" s="51"/>
      <c r="AN467" s="51"/>
      <c r="AO467" s="51"/>
      <c r="AP467" s="316"/>
      <c r="AQ467" s="8"/>
    </row>
    <row r="468" spans="1:43" ht="14.1" hidden="1" customHeight="1" x14ac:dyDescent="0.25">
      <c r="A468" s="11">
        <f t="shared" si="4"/>
        <v>14</v>
      </c>
      <c r="B468" s="963"/>
      <c r="C468" s="989" t="s">
        <v>253</v>
      </c>
      <c r="D468" s="936" t="s">
        <v>502</v>
      </c>
      <c r="E468" s="1068">
        <v>5.43</v>
      </c>
      <c r="F468" s="1039">
        <v>38486</v>
      </c>
      <c r="G468" s="359"/>
      <c r="H468" s="359"/>
      <c r="I468" s="360"/>
      <c r="J468" s="525"/>
      <c r="K468" s="898"/>
      <c r="L468" s="1012"/>
      <c r="M468" s="27"/>
      <c r="N468" s="27"/>
      <c r="O468" s="361"/>
      <c r="P468" s="137"/>
      <c r="Q468" s="68"/>
      <c r="R468" s="548"/>
      <c r="S468" s="9"/>
      <c r="T468" s="9"/>
      <c r="U468" s="9"/>
      <c r="V468" s="74"/>
      <c r="W468" s="9"/>
      <c r="X468" s="262"/>
      <c r="Y468" s="9"/>
      <c r="Z468" s="9"/>
      <c r="AA468" s="9"/>
      <c r="AB468" s="9"/>
      <c r="AC468" s="9"/>
      <c r="AD468" s="65"/>
      <c r="AE468" s="51"/>
      <c r="AF468" s="51"/>
      <c r="AG468" s="51"/>
      <c r="AH468" s="51"/>
      <c r="AI468" s="51"/>
      <c r="AJ468" s="65"/>
      <c r="AK468" s="51"/>
      <c r="AL468" s="51"/>
      <c r="AM468" s="51"/>
      <c r="AN468" s="51"/>
      <c r="AO468" s="51"/>
      <c r="AP468" s="316"/>
      <c r="AQ468" s="8"/>
    </row>
    <row r="469" spans="1:43" ht="15.4" hidden="1" customHeight="1" x14ac:dyDescent="0.25">
      <c r="A469" s="11">
        <f t="shared" si="4"/>
        <v>15</v>
      </c>
      <c r="B469" s="963"/>
      <c r="C469" s="989" t="s">
        <v>84</v>
      </c>
      <c r="D469" s="936" t="s">
        <v>503</v>
      </c>
      <c r="E469" s="1068">
        <v>2</v>
      </c>
      <c r="F469" s="1039">
        <v>12600</v>
      </c>
      <c r="G469" s="359"/>
      <c r="H469" s="359"/>
      <c r="I469" s="360"/>
      <c r="J469" s="525"/>
      <c r="K469" s="898"/>
      <c r="L469" s="1012"/>
      <c r="M469" s="27"/>
      <c r="N469" s="27"/>
      <c r="O469" s="361"/>
      <c r="P469" s="137"/>
      <c r="Q469" s="68"/>
      <c r="R469" s="548"/>
      <c r="S469" s="9"/>
      <c r="T469" s="9"/>
      <c r="U469" s="9"/>
      <c r="V469" s="74"/>
      <c r="W469" s="9"/>
      <c r="X469" s="262"/>
      <c r="Y469" s="9"/>
      <c r="Z469" s="9"/>
      <c r="AA469" s="9"/>
      <c r="AB469" s="9"/>
      <c r="AC469" s="9"/>
      <c r="AD469" s="65"/>
      <c r="AE469" s="51"/>
      <c r="AF469" s="51"/>
      <c r="AG469" s="51"/>
      <c r="AH469" s="51"/>
      <c r="AI469" s="51"/>
      <c r="AJ469" s="65"/>
      <c r="AK469" s="51"/>
      <c r="AL469" s="51"/>
      <c r="AM469" s="51"/>
      <c r="AN469" s="51"/>
      <c r="AO469" s="51"/>
      <c r="AP469" s="316"/>
      <c r="AQ469" s="8"/>
    </row>
    <row r="470" spans="1:43" ht="16.149999999999999" hidden="1" customHeight="1" x14ac:dyDescent="0.25">
      <c r="A470" s="156">
        <f t="shared" si="4"/>
        <v>16</v>
      </c>
      <c r="B470" s="892"/>
      <c r="C470" s="1004" t="s">
        <v>254</v>
      </c>
      <c r="D470" s="998" t="s">
        <v>504</v>
      </c>
      <c r="E470" s="1040">
        <v>5.0999999999999996</v>
      </c>
      <c r="F470" s="1036">
        <v>44646</v>
      </c>
      <c r="G470" s="367"/>
      <c r="H470" s="367"/>
      <c r="I470" s="368"/>
      <c r="J470" s="160"/>
      <c r="K470" s="885"/>
      <c r="L470" s="897"/>
      <c r="M470" s="27"/>
      <c r="N470" s="27"/>
      <c r="O470" s="361"/>
      <c r="P470" s="137"/>
      <c r="Q470" s="68"/>
      <c r="R470" s="548"/>
      <c r="S470" s="9"/>
      <c r="T470" s="9"/>
      <c r="U470" s="9"/>
      <c r="V470" s="74"/>
      <c r="W470" s="9"/>
      <c r="X470" s="262"/>
      <c r="Y470" s="9"/>
      <c r="Z470" s="9"/>
      <c r="AA470" s="9"/>
      <c r="AB470" s="9"/>
      <c r="AC470" s="9"/>
      <c r="AD470" s="65"/>
      <c r="AE470" s="51"/>
      <c r="AF470" s="51"/>
      <c r="AG470" s="51"/>
      <c r="AH470" s="51"/>
      <c r="AI470" s="51"/>
      <c r="AJ470" s="65"/>
      <c r="AK470" s="51"/>
      <c r="AL470" s="51"/>
      <c r="AM470" s="51"/>
      <c r="AN470" s="51"/>
      <c r="AO470" s="51"/>
      <c r="AP470" s="316"/>
      <c r="AQ470" s="8"/>
    </row>
    <row r="471" spans="1:43" ht="29.65" customHeight="1" x14ac:dyDescent="0.25">
      <c r="A471" s="1235">
        <v>12</v>
      </c>
      <c r="B471" s="1289">
        <v>1959955</v>
      </c>
      <c r="C471" s="1193" t="s">
        <v>1110</v>
      </c>
      <c r="D471" s="1289" t="s">
        <v>505</v>
      </c>
      <c r="E471" s="1484">
        <v>4.3170000000000002</v>
      </c>
      <c r="F471" s="1426">
        <v>29838</v>
      </c>
      <c r="G471" s="1303" t="s">
        <v>1117</v>
      </c>
      <c r="H471" s="1303" t="s">
        <v>1118</v>
      </c>
      <c r="I471" s="1190" t="s">
        <v>7</v>
      </c>
      <c r="J471" s="1041">
        <v>1.35</v>
      </c>
      <c r="K471" s="182" t="s">
        <v>2</v>
      </c>
      <c r="L471" s="1282">
        <f>6108.52017-135.54398</f>
        <v>5972.9761899999994</v>
      </c>
      <c r="M471" s="178"/>
      <c r="N471" s="9"/>
      <c r="O471" s="65"/>
      <c r="P471" s="137"/>
      <c r="Q471" s="68"/>
      <c r="R471" s="548"/>
      <c r="S471" s="9"/>
      <c r="T471" s="9"/>
      <c r="U471" s="9"/>
      <c r="V471" s="74"/>
      <c r="W471" s="9"/>
      <c r="X471" s="262"/>
      <c r="Y471" s="9"/>
      <c r="Z471" s="9"/>
      <c r="AA471" s="9"/>
      <c r="AB471" s="9"/>
      <c r="AC471" s="9"/>
      <c r="AD471" s="65"/>
      <c r="AE471" s="51"/>
      <c r="AF471" s="51"/>
      <c r="AG471" s="51"/>
      <c r="AH471" s="51"/>
      <c r="AI471" s="51"/>
      <c r="AJ471" s="65"/>
      <c r="AK471" s="51"/>
      <c r="AL471" s="51"/>
      <c r="AM471" s="51"/>
      <c r="AN471" s="51"/>
      <c r="AO471" s="51"/>
      <c r="AP471" s="316"/>
      <c r="AQ471" s="8"/>
    </row>
    <row r="472" spans="1:43" ht="18" customHeight="1" thickBot="1" x14ac:dyDescent="0.3">
      <c r="A472" s="1224"/>
      <c r="B472" s="1234"/>
      <c r="C472" s="1194"/>
      <c r="D472" s="1234"/>
      <c r="E472" s="1485"/>
      <c r="F472" s="1427"/>
      <c r="G472" s="1163"/>
      <c r="H472" s="1163"/>
      <c r="I472" s="1161"/>
      <c r="J472" s="163">
        <v>6249</v>
      </c>
      <c r="K472" s="173" t="s">
        <v>3</v>
      </c>
      <c r="L472" s="1283"/>
      <c r="M472" s="178"/>
      <c r="N472" s="9"/>
      <c r="O472" s="65"/>
      <c r="P472" s="137"/>
      <c r="Q472" s="68"/>
      <c r="R472" s="548"/>
      <c r="S472" s="9"/>
      <c r="T472" s="9"/>
      <c r="U472" s="9"/>
      <c r="V472" s="74"/>
      <c r="W472" s="9"/>
      <c r="X472" s="262"/>
      <c r="Y472" s="9"/>
      <c r="Z472" s="9"/>
      <c r="AA472" s="9"/>
      <c r="AB472" s="9"/>
      <c r="AC472" s="9"/>
      <c r="AD472" s="65"/>
      <c r="AE472" s="51"/>
      <c r="AF472" s="51"/>
      <c r="AG472" s="51"/>
      <c r="AH472" s="51"/>
      <c r="AI472" s="51"/>
      <c r="AJ472" s="65"/>
      <c r="AK472" s="51"/>
      <c r="AL472" s="51"/>
      <c r="AM472" s="51"/>
      <c r="AN472" s="51"/>
      <c r="AO472" s="51"/>
      <c r="AP472" s="316"/>
      <c r="AQ472" s="8"/>
    </row>
    <row r="473" spans="1:43" ht="31.15" hidden="1" customHeight="1" x14ac:dyDescent="0.25">
      <c r="A473" s="61">
        <f>A471+1</f>
        <v>13</v>
      </c>
      <c r="B473" s="893"/>
      <c r="C473" s="996" t="s">
        <v>927</v>
      </c>
      <c r="D473" s="936" t="s">
        <v>506</v>
      </c>
      <c r="E473" s="990">
        <v>12.93</v>
      </c>
      <c r="F473" s="488">
        <v>66602</v>
      </c>
      <c r="G473" s="369"/>
      <c r="H473" s="369"/>
      <c r="I473" s="360"/>
      <c r="J473" s="154"/>
      <c r="K473" s="898"/>
      <c r="L473" s="384"/>
      <c r="M473" s="27"/>
      <c r="N473" s="27"/>
      <c r="O473" s="361"/>
      <c r="P473" s="110"/>
      <c r="Q473" s="68"/>
      <c r="R473" s="1062"/>
      <c r="S473" s="9"/>
      <c r="T473" s="9"/>
      <c r="U473" s="9"/>
      <c r="V473" s="74"/>
      <c r="W473" s="9"/>
      <c r="X473" s="262"/>
      <c r="Y473" s="9"/>
      <c r="Z473" s="9"/>
      <c r="AA473" s="9"/>
      <c r="AB473" s="9"/>
      <c r="AC473" s="9"/>
      <c r="AD473" s="65"/>
      <c r="AE473" s="51"/>
      <c r="AF473" s="51"/>
      <c r="AG473" s="51"/>
      <c r="AH473" s="51"/>
      <c r="AI473" s="51"/>
      <c r="AJ473" s="65"/>
      <c r="AK473" s="51"/>
      <c r="AL473" s="51"/>
      <c r="AM473" s="51"/>
      <c r="AN473" s="51"/>
      <c r="AO473" s="51"/>
      <c r="AP473" s="316"/>
      <c r="AQ473" s="8"/>
    </row>
    <row r="474" spans="1:43" ht="18" hidden="1" customHeight="1" x14ac:dyDescent="0.25">
      <c r="A474" s="11">
        <f t="shared" si="4"/>
        <v>14</v>
      </c>
      <c r="B474" s="963"/>
      <c r="C474" s="989" t="s">
        <v>255</v>
      </c>
      <c r="D474" s="936" t="s">
        <v>507</v>
      </c>
      <c r="E474" s="1068">
        <v>3.16</v>
      </c>
      <c r="F474" s="1039">
        <v>26566</v>
      </c>
      <c r="G474" s="359"/>
      <c r="H474" s="359"/>
      <c r="I474" s="360"/>
      <c r="J474" s="525"/>
      <c r="K474" s="898"/>
      <c r="L474" s="1007"/>
      <c r="M474" s="27"/>
      <c r="N474" s="27"/>
      <c r="O474" s="361"/>
      <c r="P474" s="110"/>
      <c r="Q474" s="68"/>
      <c r="R474" s="1062"/>
      <c r="S474" s="9"/>
      <c r="T474" s="9"/>
      <c r="U474" s="9"/>
      <c r="V474" s="74"/>
      <c r="W474" s="9"/>
      <c r="X474" s="262"/>
      <c r="Y474" s="9"/>
      <c r="Z474" s="9"/>
      <c r="AA474" s="9"/>
      <c r="AB474" s="9"/>
      <c r="AC474" s="9"/>
      <c r="AD474" s="65"/>
      <c r="AE474" s="51"/>
      <c r="AF474" s="51"/>
      <c r="AG474" s="51"/>
      <c r="AH474" s="51"/>
      <c r="AI474" s="51"/>
      <c r="AJ474" s="65"/>
      <c r="AK474" s="51"/>
      <c r="AL474" s="51"/>
      <c r="AM474" s="51"/>
      <c r="AN474" s="51"/>
      <c r="AO474" s="51"/>
      <c r="AP474" s="316"/>
      <c r="AQ474" s="8"/>
    </row>
    <row r="475" spans="1:43" ht="17.649999999999999" hidden="1" customHeight="1" x14ac:dyDescent="0.25">
      <c r="A475" s="11">
        <f t="shared" si="4"/>
        <v>15</v>
      </c>
      <c r="B475" s="963"/>
      <c r="C475" s="989" t="s">
        <v>85</v>
      </c>
      <c r="D475" s="936" t="s">
        <v>508</v>
      </c>
      <c r="E475" s="1068">
        <v>1.0149999999999999</v>
      </c>
      <c r="F475" s="1039">
        <v>6300</v>
      </c>
      <c r="G475" s="359"/>
      <c r="H475" s="359"/>
      <c r="I475" s="360"/>
      <c r="J475" s="525"/>
      <c r="K475" s="898"/>
      <c r="L475" s="1007"/>
      <c r="M475" s="27"/>
      <c r="N475" s="27"/>
      <c r="O475" s="361"/>
      <c r="P475" s="110"/>
      <c r="Q475" s="68"/>
      <c r="R475" s="1062"/>
      <c r="S475" s="9"/>
      <c r="T475" s="9"/>
      <c r="U475" s="9"/>
      <c r="V475" s="74"/>
      <c r="W475" s="9"/>
      <c r="X475" s="262"/>
      <c r="Y475" s="9"/>
      <c r="Z475" s="9"/>
      <c r="AA475" s="9"/>
      <c r="AB475" s="9"/>
      <c r="AC475" s="9"/>
      <c r="AD475" s="65"/>
      <c r="AE475" s="51"/>
      <c r="AF475" s="51"/>
      <c r="AG475" s="51"/>
      <c r="AH475" s="51"/>
      <c r="AI475" s="51"/>
      <c r="AJ475" s="65"/>
      <c r="AK475" s="51"/>
      <c r="AL475" s="51"/>
      <c r="AM475" s="51"/>
      <c r="AN475" s="51"/>
      <c r="AO475" s="51"/>
      <c r="AP475" s="316"/>
      <c r="AQ475" s="8"/>
    </row>
    <row r="476" spans="1:43" ht="14.1" hidden="1" customHeight="1" x14ac:dyDescent="0.25">
      <c r="A476" s="11">
        <f t="shared" si="4"/>
        <v>16</v>
      </c>
      <c r="B476" s="963"/>
      <c r="C476" s="989" t="s">
        <v>256</v>
      </c>
      <c r="D476" s="936" t="s">
        <v>509</v>
      </c>
      <c r="E476" s="1068">
        <v>1.5</v>
      </c>
      <c r="F476" s="1039">
        <v>6974</v>
      </c>
      <c r="G476" s="359"/>
      <c r="H476" s="359"/>
      <c r="I476" s="360"/>
      <c r="J476" s="525"/>
      <c r="K476" s="898"/>
      <c r="L476" s="1007"/>
      <c r="M476" s="27"/>
      <c r="N476" s="27"/>
      <c r="O476" s="361"/>
      <c r="P476" s="110"/>
      <c r="Q476" s="68"/>
      <c r="R476" s="1062"/>
      <c r="S476" s="9"/>
      <c r="T476" s="9"/>
      <c r="U476" s="9"/>
      <c r="V476" s="74"/>
      <c r="W476" s="9"/>
      <c r="X476" s="262"/>
      <c r="Y476" s="9"/>
      <c r="Z476" s="9"/>
      <c r="AA476" s="9"/>
      <c r="AB476" s="9"/>
      <c r="AC476" s="9"/>
      <c r="AD476" s="65"/>
      <c r="AE476" s="51"/>
      <c r="AF476" s="51"/>
      <c r="AG476" s="51"/>
      <c r="AH476" s="51"/>
      <c r="AI476" s="51"/>
      <c r="AJ476" s="65"/>
      <c r="AK476" s="51"/>
      <c r="AL476" s="51"/>
      <c r="AM476" s="51"/>
      <c r="AN476" s="51"/>
      <c r="AO476" s="51"/>
      <c r="AP476" s="316"/>
      <c r="AQ476" s="8"/>
    </row>
    <row r="477" spans="1:43" ht="17.649999999999999" hidden="1" customHeight="1" x14ac:dyDescent="0.25">
      <c r="A477" s="11">
        <f t="shared" si="4"/>
        <v>17</v>
      </c>
      <c r="B477" s="963"/>
      <c r="C477" s="989" t="s">
        <v>257</v>
      </c>
      <c r="D477" s="936" t="s">
        <v>510</v>
      </c>
      <c r="E477" s="1068">
        <v>2.2400000000000002</v>
      </c>
      <c r="F477" s="1039">
        <v>7989</v>
      </c>
      <c r="G477" s="359"/>
      <c r="H477" s="359"/>
      <c r="I477" s="360"/>
      <c r="J477" s="525"/>
      <c r="K477" s="898"/>
      <c r="L477" s="1007"/>
      <c r="M477" s="27"/>
      <c r="N477" s="27"/>
      <c r="O477" s="361"/>
      <c r="P477" s="110"/>
      <c r="Q477" s="68"/>
      <c r="R477" s="1062"/>
      <c r="S477" s="9"/>
      <c r="T477" s="9"/>
      <c r="U477" s="9"/>
      <c r="V477" s="74"/>
      <c r="W477" s="9"/>
      <c r="X477" s="262"/>
      <c r="Y477" s="9"/>
      <c r="Z477" s="9"/>
      <c r="AA477" s="9"/>
      <c r="AB477" s="9"/>
      <c r="AC477" s="9"/>
      <c r="AD477" s="65"/>
      <c r="AE477" s="51"/>
      <c r="AF477" s="51"/>
      <c r="AG477" s="51"/>
      <c r="AH477" s="51"/>
      <c r="AI477" s="51"/>
      <c r="AJ477" s="65"/>
      <c r="AK477" s="51"/>
      <c r="AL477" s="51"/>
      <c r="AM477" s="51"/>
      <c r="AN477" s="51"/>
      <c r="AO477" s="51"/>
      <c r="AP477" s="316"/>
      <c r="AQ477" s="8"/>
    </row>
    <row r="478" spans="1:43" ht="14.25" hidden="1" customHeight="1" x14ac:dyDescent="0.25">
      <c r="A478" s="11">
        <f t="shared" si="4"/>
        <v>18</v>
      </c>
      <c r="B478" s="963"/>
      <c r="C478" s="989" t="s">
        <v>258</v>
      </c>
      <c r="D478" s="936" t="s">
        <v>511</v>
      </c>
      <c r="E478" s="1068">
        <v>3.5</v>
      </c>
      <c r="F478" s="1039">
        <v>23179</v>
      </c>
      <c r="G478" s="359"/>
      <c r="H478" s="359"/>
      <c r="I478" s="360"/>
      <c r="J478" s="525"/>
      <c r="K478" s="898"/>
      <c r="L478" s="1007"/>
      <c r="M478" s="27"/>
      <c r="N478" s="27"/>
      <c r="O478" s="361"/>
      <c r="P478" s="110"/>
      <c r="Q478" s="68"/>
      <c r="R478" s="1062"/>
      <c r="S478" s="9"/>
      <c r="T478" s="9"/>
      <c r="U478" s="9"/>
      <c r="V478" s="74"/>
      <c r="W478" s="9"/>
      <c r="X478" s="262"/>
      <c r="Y478" s="9"/>
      <c r="Z478" s="9"/>
      <c r="AA478" s="9"/>
      <c r="AB478" s="9"/>
      <c r="AC478" s="9"/>
      <c r="AD478" s="65"/>
      <c r="AE478" s="51"/>
      <c r="AF478" s="51"/>
      <c r="AG478" s="51"/>
      <c r="AH478" s="51"/>
      <c r="AI478" s="51"/>
      <c r="AJ478" s="65"/>
      <c r="AK478" s="51"/>
      <c r="AL478" s="51"/>
      <c r="AM478" s="51"/>
      <c r="AN478" s="51"/>
      <c r="AO478" s="51"/>
      <c r="AP478" s="316"/>
      <c r="AQ478" s="8"/>
    </row>
    <row r="479" spans="1:43" ht="14.25" hidden="1" customHeight="1" x14ac:dyDescent="0.25">
      <c r="A479" s="11">
        <f t="shared" si="4"/>
        <v>19</v>
      </c>
      <c r="B479" s="963"/>
      <c r="C479" s="989" t="s">
        <v>259</v>
      </c>
      <c r="D479" s="936" t="s">
        <v>512</v>
      </c>
      <c r="E479" s="1068">
        <v>4.67</v>
      </c>
      <c r="F479" s="1039">
        <v>41937</v>
      </c>
      <c r="G479" s="359"/>
      <c r="H479" s="359"/>
      <c r="I479" s="360"/>
      <c r="J479" s="525"/>
      <c r="K479" s="898"/>
      <c r="L479" s="1007"/>
      <c r="M479" s="27"/>
      <c r="N479" s="27"/>
      <c r="O479" s="361"/>
      <c r="P479" s="110"/>
      <c r="Q479" s="68"/>
      <c r="R479" s="1062"/>
      <c r="S479" s="9"/>
      <c r="T479" s="9"/>
      <c r="U479" s="9"/>
      <c r="V479" s="74"/>
      <c r="W479" s="9"/>
      <c r="X479" s="262"/>
      <c r="Y479" s="9"/>
      <c r="Z479" s="9"/>
      <c r="AA479" s="9"/>
      <c r="AB479" s="9"/>
      <c r="AC479" s="9"/>
      <c r="AD479" s="65"/>
      <c r="AE479" s="51"/>
      <c r="AF479" s="51"/>
      <c r="AG479" s="51"/>
      <c r="AH479" s="51"/>
      <c r="AI479" s="51"/>
      <c r="AJ479" s="65"/>
      <c r="AK479" s="51"/>
      <c r="AL479" s="51"/>
      <c r="AM479" s="51"/>
      <c r="AN479" s="51"/>
      <c r="AO479" s="51"/>
      <c r="AP479" s="316"/>
      <c r="AQ479" s="8"/>
    </row>
    <row r="480" spans="1:43" ht="14.25" hidden="1" customHeight="1" thickBot="1" x14ac:dyDescent="0.3">
      <c r="A480" s="156">
        <f t="shared" si="4"/>
        <v>20</v>
      </c>
      <c r="B480" s="892"/>
      <c r="C480" s="1004" t="s">
        <v>260</v>
      </c>
      <c r="D480" s="998" t="s">
        <v>513</v>
      </c>
      <c r="E480" s="1040">
        <v>7.5389999999999997</v>
      </c>
      <c r="F480" s="1036">
        <v>39009</v>
      </c>
      <c r="G480" s="367"/>
      <c r="H480" s="367"/>
      <c r="I480" s="368"/>
      <c r="J480" s="160"/>
      <c r="K480" s="885"/>
      <c r="L480" s="385"/>
      <c r="M480" s="1127"/>
      <c r="N480" s="1127"/>
      <c r="O480" s="370"/>
      <c r="P480" s="201"/>
      <c r="Q480" s="189"/>
      <c r="R480" s="549"/>
      <c r="S480" s="1045"/>
      <c r="T480" s="1045"/>
      <c r="U480" s="1045"/>
      <c r="V480" s="234"/>
      <c r="W480" s="1045"/>
      <c r="X480" s="257"/>
      <c r="Y480" s="1045"/>
      <c r="Z480" s="1045"/>
      <c r="AA480" s="1045"/>
      <c r="AB480" s="1045"/>
      <c r="AC480" s="1045"/>
      <c r="AD480" s="231"/>
      <c r="AE480" s="117"/>
      <c r="AF480" s="117"/>
      <c r="AG480" s="117"/>
      <c r="AH480" s="117"/>
      <c r="AI480" s="117"/>
      <c r="AJ480" s="231"/>
      <c r="AK480" s="51"/>
      <c r="AL480" s="51"/>
      <c r="AM480" s="51"/>
      <c r="AN480" s="51"/>
      <c r="AO480" s="51"/>
      <c r="AP480" s="316"/>
      <c r="AQ480" s="8"/>
    </row>
    <row r="481" spans="1:43" ht="78.400000000000006" customHeight="1" x14ac:dyDescent="0.25">
      <c r="A481" s="1235">
        <v>13</v>
      </c>
      <c r="B481" s="1289">
        <v>1960165</v>
      </c>
      <c r="C481" s="1193" t="s">
        <v>1109</v>
      </c>
      <c r="D481" s="1289" t="s">
        <v>514</v>
      </c>
      <c r="E481" s="1484">
        <v>2.4900000000000002</v>
      </c>
      <c r="F481" s="1426">
        <v>8847</v>
      </c>
      <c r="G481" s="1303" t="s">
        <v>1031</v>
      </c>
      <c r="H481" s="1303" t="s">
        <v>1116</v>
      </c>
      <c r="I481" s="1190" t="s">
        <v>7</v>
      </c>
      <c r="J481" s="1041">
        <v>2.4900000000000002</v>
      </c>
      <c r="K481" s="182" t="s">
        <v>2</v>
      </c>
      <c r="L481" s="1298">
        <v>11331.710999999999</v>
      </c>
      <c r="M481" s="1303" t="s">
        <v>1031</v>
      </c>
      <c r="N481" s="1303" t="s">
        <v>1116</v>
      </c>
      <c r="O481" s="1190" t="s">
        <v>1181</v>
      </c>
      <c r="P481" s="167"/>
      <c r="Q481" s="182" t="s">
        <v>2</v>
      </c>
      <c r="R481" s="1392">
        <v>1252.165</v>
      </c>
      <c r="S481" s="1303" t="s">
        <v>1031</v>
      </c>
      <c r="T481" s="1303" t="s">
        <v>1116</v>
      </c>
      <c r="U481" s="1190" t="s">
        <v>1181</v>
      </c>
      <c r="V481" s="190"/>
      <c r="W481" s="182" t="s">
        <v>2</v>
      </c>
      <c r="X481" s="1298">
        <v>1316.0250000000001</v>
      </c>
      <c r="Y481" s="1303" t="s">
        <v>1031</v>
      </c>
      <c r="Z481" s="1303" t="s">
        <v>1116</v>
      </c>
      <c r="AA481" s="1190" t="s">
        <v>1181</v>
      </c>
      <c r="AB481" s="986"/>
      <c r="AC481" s="182" t="s">
        <v>2</v>
      </c>
      <c r="AD481" s="1846">
        <v>1377.8779999999999</v>
      </c>
      <c r="AE481" s="1303" t="s">
        <v>1031</v>
      </c>
      <c r="AF481" s="1303" t="s">
        <v>1116</v>
      </c>
      <c r="AG481" s="1190" t="s">
        <v>1181</v>
      </c>
      <c r="AH481" s="986"/>
      <c r="AI481" s="182" t="s">
        <v>2</v>
      </c>
      <c r="AJ481" s="1282">
        <v>1445.394</v>
      </c>
      <c r="AK481" s="314"/>
      <c r="AL481" s="51"/>
      <c r="AM481" s="51"/>
      <c r="AN481" s="51"/>
      <c r="AO481" s="51"/>
      <c r="AP481" s="316"/>
      <c r="AQ481" s="1158" t="s">
        <v>1218</v>
      </c>
    </row>
    <row r="482" spans="1:43" ht="78.400000000000006" customHeight="1" thickBot="1" x14ac:dyDescent="0.3">
      <c r="A482" s="1224"/>
      <c r="B482" s="1234"/>
      <c r="C482" s="1194"/>
      <c r="D482" s="1234"/>
      <c r="E482" s="1485"/>
      <c r="F482" s="1427"/>
      <c r="G482" s="1163"/>
      <c r="H482" s="1163"/>
      <c r="I482" s="1161"/>
      <c r="J482" s="191">
        <v>9315</v>
      </c>
      <c r="K482" s="173" t="s">
        <v>3</v>
      </c>
      <c r="L482" s="1299"/>
      <c r="M482" s="1163"/>
      <c r="N482" s="1163"/>
      <c r="O482" s="1161"/>
      <c r="P482" s="987"/>
      <c r="Q482" s="173" t="s">
        <v>3</v>
      </c>
      <c r="R482" s="1287"/>
      <c r="S482" s="1163"/>
      <c r="T482" s="1163"/>
      <c r="U482" s="1161"/>
      <c r="V482" s="987"/>
      <c r="W482" s="173" t="s">
        <v>3</v>
      </c>
      <c r="X482" s="1299"/>
      <c r="Y482" s="1163"/>
      <c r="Z482" s="1163"/>
      <c r="AA482" s="1161"/>
      <c r="AB482" s="987"/>
      <c r="AC482" s="173" t="s">
        <v>3</v>
      </c>
      <c r="AD482" s="1847"/>
      <c r="AE482" s="1163"/>
      <c r="AF482" s="1163"/>
      <c r="AG482" s="1161"/>
      <c r="AH482" s="987"/>
      <c r="AI482" s="173" t="s">
        <v>3</v>
      </c>
      <c r="AJ482" s="1283"/>
      <c r="AK482" s="314"/>
      <c r="AL482" s="51"/>
      <c r="AM482" s="51"/>
      <c r="AN482" s="51"/>
      <c r="AO482" s="51"/>
      <c r="AP482" s="316"/>
      <c r="AQ482" s="1159"/>
    </row>
    <row r="483" spans="1:43" ht="16.7" hidden="1" customHeight="1" x14ac:dyDescent="0.25">
      <c r="A483" s="61"/>
      <c r="B483" s="893"/>
      <c r="C483" s="192" t="s">
        <v>870</v>
      </c>
      <c r="D483" s="936"/>
      <c r="E483" s="991"/>
      <c r="F483" s="1037"/>
      <c r="G483" s="369"/>
      <c r="H483" s="369"/>
      <c r="I483" s="360"/>
      <c r="J483" s="154"/>
      <c r="K483" s="898"/>
      <c r="L483" s="384"/>
      <c r="M483" s="1128"/>
      <c r="N483" s="1128"/>
      <c r="O483" s="372"/>
      <c r="P483" s="232"/>
      <c r="Q483" s="1046"/>
      <c r="R483" s="655"/>
      <c r="S483" s="1046"/>
      <c r="T483" s="1046"/>
      <c r="U483" s="1046"/>
      <c r="V483" s="232"/>
      <c r="W483" s="1046"/>
      <c r="X483" s="232"/>
      <c r="Y483" s="319"/>
      <c r="Z483" s="319"/>
      <c r="AA483" s="319"/>
      <c r="AB483" s="319"/>
      <c r="AC483" s="319"/>
      <c r="AD483" s="319"/>
      <c r="AE483" s="319"/>
      <c r="AF483" s="319"/>
      <c r="AG483" s="319"/>
      <c r="AH483" s="319"/>
      <c r="AI483" s="319"/>
      <c r="AJ483" s="319"/>
      <c r="AK483" s="51"/>
      <c r="AL483" s="51"/>
      <c r="AM483" s="51"/>
      <c r="AN483" s="51"/>
      <c r="AO483" s="51"/>
      <c r="AP483" s="316"/>
      <c r="AQ483" s="8"/>
    </row>
    <row r="484" spans="1:43" ht="30.2" hidden="1" customHeight="1" x14ac:dyDescent="0.25">
      <c r="A484" s="11">
        <f>A481+1</f>
        <v>14</v>
      </c>
      <c r="B484" s="963"/>
      <c r="C484" s="989" t="s">
        <v>261</v>
      </c>
      <c r="D484" s="936" t="s">
        <v>515</v>
      </c>
      <c r="E484" s="1068">
        <v>2</v>
      </c>
      <c r="F484" s="1039">
        <v>20274</v>
      </c>
      <c r="G484" s="359"/>
      <c r="H484" s="359"/>
      <c r="I484" s="360"/>
      <c r="J484" s="525"/>
      <c r="K484" s="898"/>
      <c r="L484" s="1007"/>
      <c r="M484" s="27"/>
      <c r="N484" s="27"/>
      <c r="O484" s="361"/>
      <c r="P484" s="74"/>
      <c r="Q484" s="9"/>
      <c r="R484" s="1030"/>
      <c r="S484" s="9"/>
      <c r="T484" s="9"/>
      <c r="U484" s="9"/>
      <c r="V484" s="74"/>
      <c r="W484" s="9"/>
      <c r="X484" s="74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316"/>
      <c r="AQ484" s="8"/>
    </row>
    <row r="485" spans="1:43" ht="13.15" hidden="1" customHeight="1" x14ac:dyDescent="0.25">
      <c r="A485" s="156">
        <f t="shared" si="4"/>
        <v>15</v>
      </c>
      <c r="B485" s="892"/>
      <c r="C485" s="1004" t="s">
        <v>262</v>
      </c>
      <c r="D485" s="998" t="s">
        <v>516</v>
      </c>
      <c r="E485" s="1040">
        <v>9.9499999999999993</v>
      </c>
      <c r="F485" s="1036">
        <v>62294</v>
      </c>
      <c r="G485" s="367"/>
      <c r="H485" s="367"/>
      <c r="I485" s="368"/>
      <c r="J485" s="160"/>
      <c r="K485" s="885"/>
      <c r="L485" s="385"/>
      <c r="M485" s="1127"/>
      <c r="N485" s="1127"/>
      <c r="O485" s="370"/>
      <c r="P485" s="234"/>
      <c r="Q485" s="1045"/>
      <c r="R485" s="675"/>
      <c r="S485" s="9"/>
      <c r="T485" s="9"/>
      <c r="U485" s="9"/>
      <c r="V485" s="74"/>
      <c r="W485" s="9"/>
      <c r="X485" s="74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316"/>
      <c r="AQ485" s="8"/>
    </row>
    <row r="486" spans="1:43" ht="21.2" customHeight="1" x14ac:dyDescent="0.25">
      <c r="A486" s="1235">
        <v>14</v>
      </c>
      <c r="B486" s="1289">
        <v>1960297</v>
      </c>
      <c r="C486" s="1193" t="s">
        <v>263</v>
      </c>
      <c r="D486" s="1503" t="s">
        <v>517</v>
      </c>
      <c r="E486" s="1474">
        <v>10.3</v>
      </c>
      <c r="F486" s="1429">
        <v>49478</v>
      </c>
      <c r="G486" s="1386" t="s">
        <v>1152</v>
      </c>
      <c r="H486" s="1386" t="s">
        <v>1153</v>
      </c>
      <c r="I486" s="1190" t="s">
        <v>7</v>
      </c>
      <c r="J486" s="1041">
        <v>1</v>
      </c>
      <c r="K486" s="182" t="s">
        <v>2</v>
      </c>
      <c r="L486" s="1705">
        <v>12694.816999999999</v>
      </c>
      <c r="M486" s="123"/>
      <c r="N486" s="123"/>
      <c r="O486" s="206"/>
      <c r="P486" s="1042"/>
      <c r="Q486" s="42"/>
      <c r="R486" s="552"/>
      <c r="S486" s="178"/>
      <c r="T486" s="9"/>
      <c r="U486" s="9"/>
      <c r="V486" s="74"/>
      <c r="W486" s="9"/>
      <c r="X486" s="74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316"/>
      <c r="AQ486" s="8"/>
    </row>
    <row r="487" spans="1:43" ht="21.2" customHeight="1" thickBot="1" x14ac:dyDescent="0.3">
      <c r="A487" s="1224"/>
      <c r="B487" s="1234"/>
      <c r="C487" s="1194"/>
      <c r="D487" s="1504"/>
      <c r="E487" s="1475"/>
      <c r="F487" s="1430"/>
      <c r="G487" s="1387"/>
      <c r="H487" s="1387"/>
      <c r="I487" s="1161"/>
      <c r="J487" s="163">
        <v>5000</v>
      </c>
      <c r="K487" s="173" t="s">
        <v>3</v>
      </c>
      <c r="L487" s="1991"/>
      <c r="M487" s="123"/>
      <c r="N487" s="123"/>
      <c r="O487" s="206"/>
      <c r="P487" s="1014"/>
      <c r="Q487" s="42"/>
      <c r="R487" s="552"/>
      <c r="S487" s="178"/>
      <c r="T487" s="9"/>
      <c r="U487" s="9"/>
      <c r="V487" s="74"/>
      <c r="W487" s="9"/>
      <c r="X487" s="74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316"/>
      <c r="AQ487" s="8"/>
    </row>
    <row r="488" spans="1:43" ht="30.2" hidden="1" customHeight="1" x14ac:dyDescent="0.25">
      <c r="A488" s="61">
        <f>A486+1</f>
        <v>15</v>
      </c>
      <c r="B488" s="893"/>
      <c r="C488" s="996" t="s">
        <v>264</v>
      </c>
      <c r="D488" s="936" t="s">
        <v>518</v>
      </c>
      <c r="E488" s="991">
        <v>21.35</v>
      </c>
      <c r="F488" s="1037">
        <v>139605</v>
      </c>
      <c r="G488" s="369"/>
      <c r="H488" s="369"/>
      <c r="I488" s="360"/>
      <c r="J488" s="154"/>
      <c r="K488" s="898"/>
      <c r="L488" s="384"/>
      <c r="M488" s="1128"/>
      <c r="N488" s="1128"/>
      <c r="O488" s="372"/>
      <c r="P488" s="373"/>
      <c r="Q488" s="1128"/>
      <c r="R488" s="661"/>
      <c r="S488" s="9"/>
      <c r="T488" s="9"/>
      <c r="U488" s="9"/>
      <c r="V488" s="74"/>
      <c r="W488" s="9"/>
      <c r="X488" s="74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316"/>
      <c r="AQ488" s="8"/>
    </row>
    <row r="489" spans="1:43" ht="13.5" hidden="1" customHeight="1" thickBot="1" x14ac:dyDescent="0.3">
      <c r="A489" s="156">
        <f t="shared" si="4"/>
        <v>16</v>
      </c>
      <c r="B489" s="892"/>
      <c r="C489" s="1004" t="s">
        <v>265</v>
      </c>
      <c r="D489" s="998" t="s">
        <v>519</v>
      </c>
      <c r="E489" s="1040">
        <v>5.15</v>
      </c>
      <c r="F489" s="1036">
        <v>38915</v>
      </c>
      <c r="G489" s="367"/>
      <c r="H489" s="367"/>
      <c r="I489" s="368"/>
      <c r="J489" s="160"/>
      <c r="K489" s="885"/>
      <c r="L489" s="385"/>
      <c r="M489" s="27"/>
      <c r="N489" s="27"/>
      <c r="O489" s="361"/>
      <c r="P489" s="362"/>
      <c r="Q489" s="27"/>
      <c r="R489" s="540"/>
      <c r="S489" s="9"/>
      <c r="T489" s="9"/>
      <c r="U489" s="9"/>
      <c r="V489" s="74"/>
      <c r="W489" s="9"/>
      <c r="X489" s="74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316"/>
      <c r="AQ489" s="8"/>
    </row>
    <row r="490" spans="1:43" ht="21.2" customHeight="1" x14ac:dyDescent="0.25">
      <c r="A490" s="1371">
        <v>15</v>
      </c>
      <c r="B490" s="1498" t="s">
        <v>1065</v>
      </c>
      <c r="C490" s="1353" t="s">
        <v>266</v>
      </c>
      <c r="D490" s="1685" t="s">
        <v>520</v>
      </c>
      <c r="E490" s="1417">
        <v>37.92</v>
      </c>
      <c r="F490" s="1415">
        <v>220441</v>
      </c>
      <c r="G490" s="1279" t="s">
        <v>1031</v>
      </c>
      <c r="H490" s="1279" t="s">
        <v>1064</v>
      </c>
      <c r="I490" s="1190" t="s">
        <v>7</v>
      </c>
      <c r="J490" s="1041"/>
      <c r="K490" s="162" t="s">
        <v>2</v>
      </c>
      <c r="L490" s="1191">
        <f>128131.778+11006.302-11006.302+0.001-L493-L492</f>
        <v>127566.81600000002</v>
      </c>
      <c r="M490" s="1166" t="s">
        <v>1031</v>
      </c>
      <c r="N490" s="1166" t="s">
        <v>1064</v>
      </c>
      <c r="O490" s="1190" t="s">
        <v>7</v>
      </c>
      <c r="P490" s="1041">
        <v>9.2349999999999994</v>
      </c>
      <c r="Q490" s="162" t="s">
        <v>2</v>
      </c>
      <c r="R490" s="1213">
        <f>3287.97-R492-R493</f>
        <v>2723.0070000000001</v>
      </c>
      <c r="S490" s="9"/>
      <c r="T490" s="9"/>
      <c r="U490" s="9"/>
      <c r="V490" s="74"/>
      <c r="W490" s="9"/>
      <c r="X490" s="74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316"/>
      <c r="AQ490" s="8"/>
    </row>
    <row r="491" spans="1:43" ht="18" customHeight="1" x14ac:dyDescent="0.25">
      <c r="A491" s="1372"/>
      <c r="B491" s="1499"/>
      <c r="C491" s="1304"/>
      <c r="D491" s="1328"/>
      <c r="E491" s="1418"/>
      <c r="F491" s="1416"/>
      <c r="G491" s="1280"/>
      <c r="H491" s="1280"/>
      <c r="I491" s="1226"/>
      <c r="J491" s="1014"/>
      <c r="K491" s="21" t="s">
        <v>3</v>
      </c>
      <c r="L491" s="1192"/>
      <c r="M491" s="1167"/>
      <c r="N491" s="1167"/>
      <c r="O491" s="1226"/>
      <c r="P491" s="1014">
        <v>55825.95</v>
      </c>
      <c r="Q491" s="21" t="s">
        <v>3</v>
      </c>
      <c r="R491" s="1214"/>
      <c r="S491" s="9"/>
      <c r="T491" s="9"/>
      <c r="U491" s="9"/>
      <c r="V491" s="74"/>
      <c r="W491" s="9"/>
      <c r="X491" s="74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316"/>
      <c r="AQ491" s="8"/>
    </row>
    <row r="492" spans="1:43" ht="18" customHeight="1" x14ac:dyDescent="0.25">
      <c r="A492" s="1372"/>
      <c r="B492" s="1499"/>
      <c r="C492" s="1304"/>
      <c r="D492" s="1328"/>
      <c r="E492" s="1418"/>
      <c r="F492" s="1416"/>
      <c r="G492" s="1280"/>
      <c r="H492" s="1280"/>
      <c r="I492" s="1053" t="s">
        <v>8</v>
      </c>
      <c r="J492" s="153"/>
      <c r="K492" s="21" t="s">
        <v>2</v>
      </c>
      <c r="L492" s="1022">
        <v>89.103999999999999</v>
      </c>
      <c r="M492" s="1167"/>
      <c r="N492" s="1167"/>
      <c r="O492" s="1053" t="s">
        <v>8</v>
      </c>
      <c r="P492" s="153">
        <v>13.683999999999999</v>
      </c>
      <c r="Q492" s="21" t="s">
        <v>2</v>
      </c>
      <c r="R492" s="1014">
        <f>89.104</f>
        <v>89.103999999999999</v>
      </c>
      <c r="S492" s="9"/>
      <c r="T492" s="9"/>
      <c r="U492" s="9"/>
      <c r="V492" s="74"/>
      <c r="W492" s="9"/>
      <c r="X492" s="74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316"/>
      <c r="AQ492" s="8"/>
    </row>
    <row r="493" spans="1:43" ht="42" customHeight="1" thickBot="1" x14ac:dyDescent="0.3">
      <c r="A493" s="1372"/>
      <c r="B493" s="1499"/>
      <c r="C493" s="1304"/>
      <c r="D493" s="1328"/>
      <c r="E493" s="1418"/>
      <c r="F493" s="1416"/>
      <c r="G493" s="1280"/>
      <c r="H493" s="1280"/>
      <c r="I493" s="1113" t="s">
        <v>32</v>
      </c>
      <c r="J493" s="248"/>
      <c r="K493" s="158" t="s">
        <v>10</v>
      </c>
      <c r="L493" s="945">
        <v>475.85899999999998</v>
      </c>
      <c r="M493" s="1168"/>
      <c r="N493" s="1168"/>
      <c r="O493" s="891" t="s">
        <v>32</v>
      </c>
      <c r="P493" s="248">
        <v>67</v>
      </c>
      <c r="Q493" s="158" t="s">
        <v>10</v>
      </c>
      <c r="R493" s="1014">
        <f>475.859</f>
        <v>475.85899999999998</v>
      </c>
      <c r="S493" s="9"/>
      <c r="T493" s="9"/>
      <c r="U493" s="9"/>
      <c r="V493" s="74"/>
      <c r="W493" s="9"/>
      <c r="X493" s="74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316"/>
      <c r="AQ493" s="8"/>
    </row>
    <row r="494" spans="1:43" ht="13.5" hidden="1" customHeight="1" x14ac:dyDescent="0.25">
      <c r="A494" s="61">
        <f>A490+1</f>
        <v>16</v>
      </c>
      <c r="B494" s="893"/>
      <c r="C494" s="996" t="s">
        <v>267</v>
      </c>
      <c r="D494" s="936" t="s">
        <v>521</v>
      </c>
      <c r="E494" s="991">
        <v>12.85</v>
      </c>
      <c r="F494" s="1037">
        <v>81423</v>
      </c>
      <c r="G494" s="369"/>
      <c r="H494" s="369"/>
      <c r="I494" s="360"/>
      <c r="J494" s="154"/>
      <c r="K494" s="898"/>
      <c r="L494" s="384"/>
      <c r="M494" s="27"/>
      <c r="N494" s="27"/>
      <c r="O494" s="361"/>
      <c r="P494" s="362"/>
      <c r="Q494" s="27"/>
      <c r="R494" s="540"/>
      <c r="S494" s="9"/>
      <c r="T494" s="9"/>
      <c r="U494" s="9"/>
      <c r="V494" s="74"/>
      <c r="W494" s="9"/>
      <c r="X494" s="74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316"/>
      <c r="AQ494" s="8"/>
    </row>
    <row r="495" spans="1:43" ht="13.5" hidden="1" customHeight="1" x14ac:dyDescent="0.25">
      <c r="A495" s="11">
        <f t="shared" si="4"/>
        <v>17</v>
      </c>
      <c r="B495" s="963"/>
      <c r="C495" s="989" t="s">
        <v>86</v>
      </c>
      <c r="D495" s="936" t="s">
        <v>522</v>
      </c>
      <c r="E495" s="1068">
        <v>2.35</v>
      </c>
      <c r="F495" s="1039">
        <v>10104</v>
      </c>
      <c r="G495" s="359"/>
      <c r="H495" s="359"/>
      <c r="I495" s="360"/>
      <c r="J495" s="525"/>
      <c r="K495" s="898"/>
      <c r="L495" s="1007"/>
      <c r="M495" s="27"/>
      <c r="N495" s="27"/>
      <c r="O495" s="361"/>
      <c r="P495" s="362"/>
      <c r="Q495" s="27"/>
      <c r="R495" s="540"/>
      <c r="S495" s="9"/>
      <c r="T495" s="9"/>
      <c r="U495" s="9"/>
      <c r="V495" s="74"/>
      <c r="W495" s="9"/>
      <c r="X495" s="74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316"/>
      <c r="AQ495" s="8"/>
    </row>
    <row r="496" spans="1:43" ht="13.5" hidden="1" customHeight="1" x14ac:dyDescent="0.25">
      <c r="A496" s="11">
        <f t="shared" si="4"/>
        <v>18</v>
      </c>
      <c r="B496" s="963"/>
      <c r="C496" s="989" t="s">
        <v>268</v>
      </c>
      <c r="D496" s="936" t="s">
        <v>523</v>
      </c>
      <c r="E496" s="1068">
        <v>12.31</v>
      </c>
      <c r="F496" s="1039">
        <v>113616</v>
      </c>
      <c r="G496" s="359"/>
      <c r="H496" s="359"/>
      <c r="I496" s="360"/>
      <c r="J496" s="525"/>
      <c r="K496" s="898"/>
      <c r="L496" s="1007"/>
      <c r="M496" s="27"/>
      <c r="N496" s="27"/>
      <c r="O496" s="361"/>
      <c r="P496" s="362"/>
      <c r="Q496" s="27"/>
      <c r="R496" s="540"/>
      <c r="S496" s="9"/>
      <c r="T496" s="9"/>
      <c r="U496" s="9"/>
      <c r="V496" s="74"/>
      <c r="W496" s="9"/>
      <c r="X496" s="74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316"/>
      <c r="AQ496" s="8"/>
    </row>
    <row r="497" spans="1:43" ht="13.5" hidden="1" customHeight="1" x14ac:dyDescent="0.25">
      <c r="A497" s="11">
        <f t="shared" si="4"/>
        <v>19</v>
      </c>
      <c r="B497" s="963"/>
      <c r="C497" s="989" t="s">
        <v>269</v>
      </c>
      <c r="D497" s="936" t="s">
        <v>524</v>
      </c>
      <c r="E497" s="1068">
        <v>1.2</v>
      </c>
      <c r="F497" s="1039">
        <v>6378</v>
      </c>
      <c r="G497" s="359"/>
      <c r="H497" s="359"/>
      <c r="I497" s="360"/>
      <c r="J497" s="525"/>
      <c r="K497" s="898"/>
      <c r="L497" s="1007"/>
      <c r="M497" s="27"/>
      <c r="N497" s="27"/>
      <c r="O497" s="361"/>
      <c r="P497" s="362"/>
      <c r="Q497" s="27"/>
      <c r="R497" s="540"/>
      <c r="S497" s="9"/>
      <c r="T497" s="9"/>
      <c r="U497" s="9"/>
      <c r="V497" s="74"/>
      <c r="W497" s="9"/>
      <c r="X497" s="74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316"/>
      <c r="AQ497" s="8"/>
    </row>
    <row r="498" spans="1:43" ht="13.5" hidden="1" customHeight="1" x14ac:dyDescent="0.25">
      <c r="A498" s="11">
        <f t="shared" si="4"/>
        <v>20</v>
      </c>
      <c r="B498" s="963"/>
      <c r="C498" s="989" t="s">
        <v>270</v>
      </c>
      <c r="D498" s="936" t="s">
        <v>525</v>
      </c>
      <c r="E498" s="1068">
        <v>3.2959999999999998</v>
      </c>
      <c r="F498" s="1039">
        <v>33948</v>
      </c>
      <c r="G498" s="359"/>
      <c r="H498" s="359"/>
      <c r="I498" s="360"/>
      <c r="J498" s="525"/>
      <c r="K498" s="898"/>
      <c r="L498" s="1007"/>
      <c r="M498" s="27"/>
      <c r="N498" s="27"/>
      <c r="O498" s="361"/>
      <c r="P498" s="362"/>
      <c r="Q498" s="27"/>
      <c r="R498" s="540"/>
      <c r="S498" s="9"/>
      <c r="T498" s="9"/>
      <c r="U498" s="9"/>
      <c r="V498" s="74"/>
      <c r="W498" s="9"/>
      <c r="X498" s="74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316"/>
      <c r="AQ498" s="8"/>
    </row>
    <row r="499" spans="1:43" ht="29.65" hidden="1" customHeight="1" x14ac:dyDescent="0.25">
      <c r="A499" s="11">
        <f t="shared" si="4"/>
        <v>21</v>
      </c>
      <c r="B499" s="963"/>
      <c r="C499" s="989" t="s">
        <v>271</v>
      </c>
      <c r="D499" s="936" t="s">
        <v>526</v>
      </c>
      <c r="E499" s="1068">
        <v>10.1</v>
      </c>
      <c r="F499" s="1039">
        <v>58113</v>
      </c>
      <c r="G499" s="359"/>
      <c r="H499" s="359"/>
      <c r="I499" s="360"/>
      <c r="J499" s="525"/>
      <c r="K499" s="898"/>
      <c r="L499" s="1007"/>
      <c r="M499" s="27"/>
      <c r="N499" s="27"/>
      <c r="O499" s="361"/>
      <c r="P499" s="362"/>
      <c r="Q499" s="27"/>
      <c r="R499" s="540"/>
      <c r="S499" s="9"/>
      <c r="T499" s="9"/>
      <c r="U499" s="9"/>
      <c r="V499" s="74"/>
      <c r="W499" s="9"/>
      <c r="X499" s="74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316"/>
      <c r="AQ499" s="8"/>
    </row>
    <row r="500" spans="1:43" ht="17.649999999999999" hidden="1" customHeight="1" x14ac:dyDescent="0.25">
      <c r="A500" s="11">
        <f t="shared" si="4"/>
        <v>22</v>
      </c>
      <c r="B500" s="963"/>
      <c r="C500" s="989" t="s">
        <v>272</v>
      </c>
      <c r="D500" s="936" t="s">
        <v>527</v>
      </c>
      <c r="E500" s="1068">
        <v>9</v>
      </c>
      <c r="F500" s="1039">
        <v>45105</v>
      </c>
      <c r="G500" s="359"/>
      <c r="H500" s="359"/>
      <c r="I500" s="360"/>
      <c r="J500" s="525"/>
      <c r="K500" s="898"/>
      <c r="L500" s="1007"/>
      <c r="M500" s="27"/>
      <c r="N500" s="27"/>
      <c r="O500" s="361"/>
      <c r="P500" s="362"/>
      <c r="Q500" s="27"/>
      <c r="R500" s="540"/>
      <c r="S500" s="9"/>
      <c r="T500" s="9"/>
      <c r="U500" s="9"/>
      <c r="V500" s="74"/>
      <c r="W500" s="9"/>
      <c r="X500" s="74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316"/>
      <c r="AQ500" s="8"/>
    </row>
    <row r="501" spans="1:43" ht="17.649999999999999" hidden="1" customHeight="1" x14ac:dyDescent="0.25">
      <c r="A501" s="11">
        <f t="shared" si="4"/>
        <v>23</v>
      </c>
      <c r="B501" s="963"/>
      <c r="C501" s="989" t="s">
        <v>273</v>
      </c>
      <c r="D501" s="936" t="s">
        <v>528</v>
      </c>
      <c r="E501" s="1068">
        <v>4.5</v>
      </c>
      <c r="F501" s="1039">
        <v>27960</v>
      </c>
      <c r="G501" s="359"/>
      <c r="H501" s="359"/>
      <c r="I501" s="360"/>
      <c r="J501" s="525"/>
      <c r="K501" s="898"/>
      <c r="L501" s="1007"/>
      <c r="M501" s="27"/>
      <c r="N501" s="27"/>
      <c r="O501" s="361"/>
      <c r="P501" s="362"/>
      <c r="Q501" s="27"/>
      <c r="R501" s="540"/>
      <c r="S501" s="9"/>
      <c r="T501" s="9"/>
      <c r="U501" s="9"/>
      <c r="V501" s="74"/>
      <c r="W501" s="9"/>
      <c r="X501" s="74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316"/>
      <c r="AQ501" s="8"/>
    </row>
    <row r="502" spans="1:43" ht="25.7" hidden="1" customHeight="1" x14ac:dyDescent="0.25">
      <c r="A502" s="11">
        <f t="shared" si="4"/>
        <v>24</v>
      </c>
      <c r="B502" s="963"/>
      <c r="C502" s="989" t="s">
        <v>274</v>
      </c>
      <c r="D502" s="936" t="s">
        <v>529</v>
      </c>
      <c r="E502" s="1068">
        <v>3.7730000000000001</v>
      </c>
      <c r="F502" s="1039">
        <v>18200</v>
      </c>
      <c r="G502" s="359"/>
      <c r="H502" s="359"/>
      <c r="I502" s="360"/>
      <c r="J502" s="525"/>
      <c r="K502" s="898"/>
      <c r="L502" s="1007"/>
      <c r="M502" s="27"/>
      <c r="N502" s="27"/>
      <c r="O502" s="361"/>
      <c r="P502" s="362"/>
      <c r="Q502" s="27"/>
      <c r="R502" s="540"/>
      <c r="S502" s="9"/>
      <c r="T502" s="9"/>
      <c r="U502" s="9"/>
      <c r="V502" s="74"/>
      <c r="W502" s="9"/>
      <c r="X502" s="74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316"/>
      <c r="AQ502" s="8"/>
    </row>
    <row r="503" spans="1:43" ht="13.15" hidden="1" customHeight="1" x14ac:dyDescent="0.25">
      <c r="A503" s="11">
        <f t="shared" si="4"/>
        <v>25</v>
      </c>
      <c r="B503" s="963"/>
      <c r="C503" s="989" t="s">
        <v>275</v>
      </c>
      <c r="D503" s="936" t="s">
        <v>530</v>
      </c>
      <c r="E503" s="1068">
        <v>1.0369999999999999</v>
      </c>
      <c r="F503" s="1039">
        <v>8946</v>
      </c>
      <c r="G503" s="359"/>
      <c r="H503" s="359"/>
      <c r="I503" s="360"/>
      <c r="J503" s="525"/>
      <c r="K503" s="898"/>
      <c r="L503" s="1007"/>
      <c r="M503" s="27"/>
      <c r="N503" s="27"/>
      <c r="O503" s="361"/>
      <c r="P503" s="362"/>
      <c r="Q503" s="27"/>
      <c r="R503" s="540"/>
      <c r="S503" s="9"/>
      <c r="T503" s="9"/>
      <c r="U503" s="9"/>
      <c r="V503" s="74"/>
      <c r="W503" s="9"/>
      <c r="X503" s="74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316"/>
      <c r="AQ503" s="8"/>
    </row>
    <row r="504" spans="1:43" ht="13.15" hidden="1" customHeight="1" x14ac:dyDescent="0.25">
      <c r="A504" s="11">
        <f t="shared" si="4"/>
        <v>26</v>
      </c>
      <c r="B504" s="963"/>
      <c r="C504" s="989" t="s">
        <v>276</v>
      </c>
      <c r="D504" s="936" t="s">
        <v>531</v>
      </c>
      <c r="E504" s="1068">
        <v>9.6</v>
      </c>
      <c r="F504" s="1039">
        <v>79680</v>
      </c>
      <c r="G504" s="359"/>
      <c r="H504" s="359"/>
      <c r="I504" s="360"/>
      <c r="J504" s="525"/>
      <c r="K504" s="898"/>
      <c r="L504" s="1007"/>
      <c r="M504" s="27"/>
      <c r="N504" s="27"/>
      <c r="O504" s="361"/>
      <c r="P504" s="362"/>
      <c r="Q504" s="27"/>
      <c r="R504" s="540"/>
      <c r="S504" s="9"/>
      <c r="T504" s="9"/>
      <c r="U504" s="9"/>
      <c r="V504" s="74"/>
      <c r="W504" s="9"/>
      <c r="X504" s="74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316"/>
      <c r="AQ504" s="8"/>
    </row>
    <row r="505" spans="1:43" ht="19.350000000000001" hidden="1" customHeight="1" x14ac:dyDescent="0.25">
      <c r="A505" s="11"/>
      <c r="B505" s="963"/>
      <c r="C505" s="46" t="s">
        <v>871</v>
      </c>
      <c r="D505" s="936"/>
      <c r="E505" s="1068"/>
      <c r="F505" s="1039"/>
      <c r="G505" s="359"/>
      <c r="H505" s="359"/>
      <c r="I505" s="360"/>
      <c r="J505" s="525"/>
      <c r="K505" s="898"/>
      <c r="L505" s="1007"/>
      <c r="M505" s="27"/>
      <c r="N505" s="27"/>
      <c r="O505" s="361"/>
      <c r="P505" s="362"/>
      <c r="Q505" s="27"/>
      <c r="R505" s="540"/>
      <c r="S505" s="9"/>
      <c r="T505" s="9"/>
      <c r="U505" s="9"/>
      <c r="V505" s="74"/>
      <c r="W505" s="9"/>
      <c r="X505" s="74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316"/>
      <c r="AQ505" s="8"/>
    </row>
    <row r="506" spans="1:43" ht="13.15" hidden="1" customHeight="1" x14ac:dyDescent="0.25">
      <c r="A506" s="11">
        <f>A504+1</f>
        <v>27</v>
      </c>
      <c r="B506" s="963"/>
      <c r="C506" s="989" t="s">
        <v>928</v>
      </c>
      <c r="D506" s="936" t="s">
        <v>532</v>
      </c>
      <c r="E506" s="1068">
        <v>8.99</v>
      </c>
      <c r="F506" s="1039">
        <v>67087</v>
      </c>
      <c r="G506" s="359"/>
      <c r="H506" s="359"/>
      <c r="I506" s="360"/>
      <c r="J506" s="525"/>
      <c r="K506" s="898"/>
      <c r="L506" s="1007"/>
      <c r="M506" s="27"/>
      <c r="N506" s="27"/>
      <c r="O506" s="361"/>
      <c r="P506" s="362"/>
      <c r="Q506" s="27"/>
      <c r="R506" s="540"/>
      <c r="S506" s="9"/>
      <c r="T506" s="9"/>
      <c r="U506" s="9"/>
      <c r="V506" s="74"/>
      <c r="W506" s="9"/>
      <c r="X506" s="74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316"/>
      <c r="AQ506" s="8"/>
    </row>
    <row r="507" spans="1:43" ht="13.15" hidden="1" customHeight="1" x14ac:dyDescent="0.25">
      <c r="A507" s="11">
        <f t="shared" si="4"/>
        <v>28</v>
      </c>
      <c r="B507" s="963"/>
      <c r="C507" s="989" t="s">
        <v>277</v>
      </c>
      <c r="D507" s="936" t="s">
        <v>533</v>
      </c>
      <c r="E507" s="1068">
        <v>27.22</v>
      </c>
      <c r="F507" s="1039">
        <v>184809</v>
      </c>
      <c r="G507" s="359"/>
      <c r="H507" s="359"/>
      <c r="I507" s="360"/>
      <c r="J507" s="525"/>
      <c r="K507" s="898"/>
      <c r="L507" s="1007"/>
      <c r="M507" s="27"/>
      <c r="N507" s="27"/>
      <c r="O507" s="361"/>
      <c r="P507" s="362"/>
      <c r="Q507" s="27"/>
      <c r="R507" s="540"/>
      <c r="S507" s="9"/>
      <c r="T507" s="9"/>
      <c r="U507" s="9"/>
      <c r="V507" s="74"/>
      <c r="W507" s="9"/>
      <c r="X507" s="74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316"/>
      <c r="AQ507" s="8"/>
    </row>
    <row r="508" spans="1:43" ht="13.15" hidden="1" customHeight="1" x14ac:dyDescent="0.25">
      <c r="A508" s="11">
        <f t="shared" si="4"/>
        <v>29</v>
      </c>
      <c r="B508" s="963"/>
      <c r="C508" s="989" t="s">
        <v>278</v>
      </c>
      <c r="D508" s="936" t="s">
        <v>534</v>
      </c>
      <c r="E508" s="1068">
        <v>5.3810000000000002</v>
      </c>
      <c r="F508" s="1039">
        <v>50558</v>
      </c>
      <c r="G508" s="359"/>
      <c r="H508" s="359"/>
      <c r="I508" s="360"/>
      <c r="J508" s="525"/>
      <c r="K508" s="898"/>
      <c r="L508" s="1007"/>
      <c r="M508" s="27"/>
      <c r="N508" s="27"/>
      <c r="O508" s="361"/>
      <c r="P508" s="362"/>
      <c r="Q508" s="27"/>
      <c r="R508" s="540"/>
      <c r="S508" s="9"/>
      <c r="T508" s="9"/>
      <c r="U508" s="9"/>
      <c r="V508" s="74"/>
      <c r="W508" s="9"/>
      <c r="X508" s="74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316"/>
      <c r="AQ508" s="8"/>
    </row>
    <row r="509" spans="1:43" ht="15.4" hidden="1" customHeight="1" x14ac:dyDescent="0.25">
      <c r="A509" s="11">
        <f t="shared" si="4"/>
        <v>30</v>
      </c>
      <c r="B509" s="963"/>
      <c r="C509" s="989" t="s">
        <v>279</v>
      </c>
      <c r="D509" s="936" t="s">
        <v>535</v>
      </c>
      <c r="E509" s="1068">
        <v>17.207999999999998</v>
      </c>
      <c r="F509" s="1039">
        <v>132031</v>
      </c>
      <c r="G509" s="359"/>
      <c r="H509" s="359"/>
      <c r="I509" s="360"/>
      <c r="J509" s="525"/>
      <c r="K509" s="898"/>
      <c r="L509" s="1007"/>
      <c r="M509" s="27"/>
      <c r="N509" s="27"/>
      <c r="O509" s="361"/>
      <c r="P509" s="362"/>
      <c r="Q509" s="27"/>
      <c r="R509" s="540"/>
      <c r="S509" s="9"/>
      <c r="T509" s="9"/>
      <c r="U509" s="9"/>
      <c r="V509" s="74"/>
      <c r="W509" s="9"/>
      <c r="X509" s="74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316"/>
      <c r="AQ509" s="8"/>
    </row>
    <row r="510" spans="1:43" ht="15.4" hidden="1" customHeight="1" x14ac:dyDescent="0.25">
      <c r="A510" s="11">
        <f t="shared" si="4"/>
        <v>31</v>
      </c>
      <c r="B510" s="963"/>
      <c r="C510" s="989" t="s">
        <v>87</v>
      </c>
      <c r="D510" s="936" t="s">
        <v>536</v>
      </c>
      <c r="E510" s="13">
        <v>7.516</v>
      </c>
      <c r="F510" s="1039">
        <v>77058</v>
      </c>
      <c r="G510" s="359"/>
      <c r="H510" s="359"/>
      <c r="I510" s="360"/>
      <c r="J510" s="525"/>
      <c r="K510" s="898"/>
      <c r="L510" s="1007"/>
      <c r="M510" s="27"/>
      <c r="N510" s="27"/>
      <c r="O510" s="361"/>
      <c r="P510" s="362"/>
      <c r="Q510" s="27"/>
      <c r="R510" s="540"/>
      <c r="S510" s="9"/>
      <c r="T510" s="9"/>
      <c r="U510" s="9"/>
      <c r="V510" s="74"/>
      <c r="W510" s="9"/>
      <c r="X510" s="74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316"/>
      <c r="AQ510" s="8"/>
    </row>
    <row r="511" spans="1:43" ht="29.65" hidden="1" customHeight="1" x14ac:dyDescent="0.25">
      <c r="A511" s="11">
        <f t="shared" si="4"/>
        <v>32</v>
      </c>
      <c r="B511" s="963"/>
      <c r="C511" s="989" t="s">
        <v>929</v>
      </c>
      <c r="D511" s="936" t="s">
        <v>537</v>
      </c>
      <c r="E511" s="1068">
        <v>5.6310000000000002</v>
      </c>
      <c r="F511" s="1039">
        <v>33945</v>
      </c>
      <c r="G511" s="359"/>
      <c r="H511" s="359"/>
      <c r="I511" s="360"/>
      <c r="J511" s="525"/>
      <c r="K511" s="898"/>
      <c r="L511" s="1007"/>
      <c r="M511" s="27"/>
      <c r="N511" s="27"/>
      <c r="O511" s="361"/>
      <c r="P511" s="362"/>
      <c r="Q511" s="27"/>
      <c r="R511" s="540"/>
      <c r="S511" s="9"/>
      <c r="T511" s="9"/>
      <c r="U511" s="9"/>
      <c r="V511" s="74"/>
      <c r="W511" s="9"/>
      <c r="X511" s="74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316"/>
      <c r="AQ511" s="8"/>
    </row>
    <row r="512" spans="1:43" ht="28.35" hidden="1" customHeight="1" x14ac:dyDescent="0.25">
      <c r="A512" s="11">
        <f t="shared" si="4"/>
        <v>33</v>
      </c>
      <c r="B512" s="963"/>
      <c r="C512" s="989" t="s">
        <v>930</v>
      </c>
      <c r="D512" s="936" t="s">
        <v>538</v>
      </c>
      <c r="E512" s="1068">
        <v>6.8</v>
      </c>
      <c r="F512" s="1039">
        <v>47422</v>
      </c>
      <c r="G512" s="359"/>
      <c r="H512" s="359"/>
      <c r="I512" s="360"/>
      <c r="J512" s="525"/>
      <c r="K512" s="898"/>
      <c r="L512" s="1007"/>
      <c r="M512" s="27"/>
      <c r="N512" s="27"/>
      <c r="O512" s="361"/>
      <c r="P512" s="362"/>
      <c r="Q512" s="27"/>
      <c r="R512" s="540"/>
      <c r="S512" s="9"/>
      <c r="T512" s="9"/>
      <c r="U512" s="9"/>
      <c r="V512" s="74"/>
      <c r="W512" s="9"/>
      <c r="X512" s="74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316"/>
      <c r="AQ512" s="8"/>
    </row>
    <row r="513" spans="1:43" ht="16.7" hidden="1" customHeight="1" x14ac:dyDescent="0.25">
      <c r="A513" s="11">
        <f t="shared" si="4"/>
        <v>34</v>
      </c>
      <c r="B513" s="963"/>
      <c r="C513" s="989" t="s">
        <v>280</v>
      </c>
      <c r="D513" s="936" t="s">
        <v>539</v>
      </c>
      <c r="E513" s="1068">
        <v>4.96</v>
      </c>
      <c r="F513" s="1039">
        <v>29839</v>
      </c>
      <c r="G513" s="359"/>
      <c r="H513" s="359"/>
      <c r="I513" s="360"/>
      <c r="J513" s="525"/>
      <c r="K513" s="898"/>
      <c r="L513" s="1007"/>
      <c r="M513" s="27"/>
      <c r="N513" s="27"/>
      <c r="O513" s="361"/>
      <c r="P513" s="362"/>
      <c r="Q513" s="27"/>
      <c r="R513" s="540"/>
      <c r="S513" s="9"/>
      <c r="T513" s="9"/>
      <c r="U513" s="9"/>
      <c r="V513" s="74"/>
      <c r="W513" s="9"/>
      <c r="X513" s="74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316"/>
      <c r="AQ513" s="8"/>
    </row>
    <row r="514" spans="1:43" ht="44.65" hidden="1" customHeight="1" x14ac:dyDescent="0.25">
      <c r="A514" s="11">
        <f t="shared" si="4"/>
        <v>35</v>
      </c>
      <c r="B514" s="963"/>
      <c r="C514" s="989" t="s">
        <v>931</v>
      </c>
      <c r="D514" s="936" t="s">
        <v>540</v>
      </c>
      <c r="E514" s="1068">
        <v>1</v>
      </c>
      <c r="F514" s="1039">
        <v>4719</v>
      </c>
      <c r="G514" s="359"/>
      <c r="H514" s="359"/>
      <c r="I514" s="360"/>
      <c r="J514" s="525"/>
      <c r="K514" s="898"/>
      <c r="L514" s="1007"/>
      <c r="M514" s="27"/>
      <c r="N514" s="27"/>
      <c r="O514" s="361"/>
      <c r="P514" s="362"/>
      <c r="Q514" s="27"/>
      <c r="R514" s="540"/>
      <c r="S514" s="9"/>
      <c r="T514" s="9"/>
      <c r="U514" s="9"/>
      <c r="V514" s="74"/>
      <c r="W514" s="9"/>
      <c r="X514" s="74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316"/>
      <c r="AQ514" s="8"/>
    </row>
    <row r="515" spans="1:43" ht="14.85" hidden="1" customHeight="1" x14ac:dyDescent="0.25">
      <c r="A515" s="11">
        <f t="shared" si="4"/>
        <v>36</v>
      </c>
      <c r="B515" s="963"/>
      <c r="C515" s="989" t="s">
        <v>281</v>
      </c>
      <c r="D515" s="936" t="s">
        <v>541</v>
      </c>
      <c r="E515" s="1068">
        <v>8</v>
      </c>
      <c r="F515" s="1039">
        <v>74897</v>
      </c>
      <c r="G515" s="359"/>
      <c r="H515" s="359"/>
      <c r="I515" s="360"/>
      <c r="J515" s="525"/>
      <c r="K515" s="898"/>
      <c r="L515" s="1007"/>
      <c r="M515" s="27"/>
      <c r="N515" s="27"/>
      <c r="O515" s="361"/>
      <c r="P515" s="362"/>
      <c r="Q515" s="27"/>
      <c r="R515" s="540"/>
      <c r="S515" s="9"/>
      <c r="T515" s="9"/>
      <c r="U515" s="9"/>
      <c r="V515" s="74"/>
      <c r="W515" s="9"/>
      <c r="X515" s="74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316"/>
      <c r="AQ515" s="8"/>
    </row>
    <row r="516" spans="1:43" ht="14.85" hidden="1" customHeight="1" x14ac:dyDescent="0.25">
      <c r="A516" s="11">
        <f t="shared" si="4"/>
        <v>37</v>
      </c>
      <c r="B516" s="963"/>
      <c r="C516" s="989" t="s">
        <v>282</v>
      </c>
      <c r="D516" s="936" t="s">
        <v>542</v>
      </c>
      <c r="E516" s="1068">
        <v>7.6040000000000001</v>
      </c>
      <c r="F516" s="1039">
        <v>35197</v>
      </c>
      <c r="G516" s="359"/>
      <c r="H516" s="359"/>
      <c r="I516" s="360"/>
      <c r="J516" s="525"/>
      <c r="K516" s="898"/>
      <c r="L516" s="1007"/>
      <c r="M516" s="27"/>
      <c r="N516" s="27"/>
      <c r="O516" s="361"/>
      <c r="P516" s="362"/>
      <c r="Q516" s="27"/>
      <c r="R516" s="540"/>
      <c r="S516" s="9"/>
      <c r="T516" s="9"/>
      <c r="U516" s="9"/>
      <c r="V516" s="74"/>
      <c r="W516" s="9"/>
      <c r="X516" s="74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316"/>
      <c r="AQ516" s="8"/>
    </row>
    <row r="517" spans="1:43" ht="31.15" hidden="1" customHeight="1" x14ac:dyDescent="0.25">
      <c r="A517" s="11">
        <f t="shared" si="4"/>
        <v>38</v>
      </c>
      <c r="B517" s="963"/>
      <c r="C517" s="989" t="s">
        <v>932</v>
      </c>
      <c r="D517" s="936" t="s">
        <v>543</v>
      </c>
      <c r="E517" s="1068">
        <v>14.085000000000001</v>
      </c>
      <c r="F517" s="1039">
        <v>99322</v>
      </c>
      <c r="G517" s="359"/>
      <c r="H517" s="359"/>
      <c r="I517" s="360"/>
      <c r="J517" s="525"/>
      <c r="K517" s="898"/>
      <c r="L517" s="1007"/>
      <c r="M517" s="27"/>
      <c r="N517" s="27"/>
      <c r="O517" s="361"/>
      <c r="P517" s="362"/>
      <c r="Q517" s="27"/>
      <c r="R517" s="540"/>
      <c r="S517" s="9"/>
      <c r="T517" s="9"/>
      <c r="U517" s="9"/>
      <c r="V517" s="74"/>
      <c r="W517" s="9"/>
      <c r="X517" s="74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316"/>
      <c r="AQ517" s="8"/>
    </row>
    <row r="518" spans="1:43" ht="16.149999999999999" hidden="1" customHeight="1" x14ac:dyDescent="0.25">
      <c r="A518" s="11">
        <f t="shared" si="4"/>
        <v>39</v>
      </c>
      <c r="B518" s="963"/>
      <c r="C518" s="989" t="s">
        <v>283</v>
      </c>
      <c r="D518" s="936" t="s">
        <v>544</v>
      </c>
      <c r="E518" s="1068">
        <v>7.016</v>
      </c>
      <c r="F518" s="1039">
        <v>51638</v>
      </c>
      <c r="G518" s="359"/>
      <c r="H518" s="359"/>
      <c r="I518" s="360"/>
      <c r="J518" s="525"/>
      <c r="K518" s="898"/>
      <c r="L518" s="1007"/>
      <c r="M518" s="27"/>
      <c r="N518" s="27"/>
      <c r="O518" s="361"/>
      <c r="P518" s="362"/>
      <c r="Q518" s="27"/>
      <c r="R518" s="540"/>
      <c r="S518" s="9"/>
      <c r="T518" s="9"/>
      <c r="U518" s="9"/>
      <c r="V518" s="74"/>
      <c r="W518" s="9"/>
      <c r="X518" s="74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316"/>
      <c r="AQ518" s="8"/>
    </row>
    <row r="519" spans="1:43" ht="16.149999999999999" hidden="1" customHeight="1" x14ac:dyDescent="0.25">
      <c r="A519" s="11">
        <f t="shared" si="4"/>
        <v>40</v>
      </c>
      <c r="B519" s="963"/>
      <c r="C519" s="989" t="s">
        <v>284</v>
      </c>
      <c r="D519" s="936" t="s">
        <v>545</v>
      </c>
      <c r="E519" s="1068">
        <v>3.6230000000000002</v>
      </c>
      <c r="F519" s="1039">
        <v>16373</v>
      </c>
      <c r="G519" s="359"/>
      <c r="H519" s="359"/>
      <c r="I519" s="360"/>
      <c r="J519" s="525"/>
      <c r="K519" s="898"/>
      <c r="L519" s="1007"/>
      <c r="M519" s="27"/>
      <c r="N519" s="27"/>
      <c r="O519" s="361"/>
      <c r="P519" s="362"/>
      <c r="Q519" s="27"/>
      <c r="R519" s="540"/>
      <c r="S519" s="9"/>
      <c r="T519" s="9"/>
      <c r="U519" s="9"/>
      <c r="V519" s="74"/>
      <c r="W519" s="9"/>
      <c r="X519" s="74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316"/>
      <c r="AQ519" s="8"/>
    </row>
    <row r="520" spans="1:43" ht="16.149999999999999" hidden="1" customHeight="1" x14ac:dyDescent="0.25">
      <c r="A520" s="11">
        <f t="shared" si="4"/>
        <v>41</v>
      </c>
      <c r="B520" s="963"/>
      <c r="C520" s="989" t="s">
        <v>285</v>
      </c>
      <c r="D520" s="936" t="s">
        <v>546</v>
      </c>
      <c r="E520" s="1068">
        <v>5</v>
      </c>
      <c r="F520" s="1039">
        <v>24438</v>
      </c>
      <c r="G520" s="359"/>
      <c r="H520" s="359"/>
      <c r="I520" s="360"/>
      <c r="J520" s="525"/>
      <c r="K520" s="898"/>
      <c r="L520" s="1007"/>
      <c r="M520" s="27"/>
      <c r="N520" s="27"/>
      <c r="O520" s="361"/>
      <c r="P520" s="362"/>
      <c r="Q520" s="27"/>
      <c r="R520" s="540"/>
      <c r="S520" s="9"/>
      <c r="T520" s="9"/>
      <c r="U520" s="9"/>
      <c r="V520" s="74"/>
      <c r="W520" s="9"/>
      <c r="X520" s="74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316"/>
      <c r="AQ520" s="8"/>
    </row>
    <row r="521" spans="1:43" ht="28.9" hidden="1" customHeight="1" x14ac:dyDescent="0.25">
      <c r="A521" s="11">
        <f t="shared" si="4"/>
        <v>42</v>
      </c>
      <c r="B521" s="963"/>
      <c r="C521" s="989" t="s">
        <v>933</v>
      </c>
      <c r="D521" s="936" t="s">
        <v>547</v>
      </c>
      <c r="E521" s="1068">
        <v>3.72</v>
      </c>
      <c r="F521" s="1039">
        <v>19259</v>
      </c>
      <c r="G521" s="359"/>
      <c r="H521" s="359"/>
      <c r="I521" s="360"/>
      <c r="J521" s="525"/>
      <c r="K521" s="898"/>
      <c r="L521" s="1007"/>
      <c r="M521" s="27"/>
      <c r="N521" s="27"/>
      <c r="O521" s="361"/>
      <c r="P521" s="362"/>
      <c r="Q521" s="27"/>
      <c r="R521" s="540"/>
      <c r="S521" s="9"/>
      <c r="T521" s="9"/>
      <c r="U521" s="9"/>
      <c r="V521" s="74"/>
      <c r="W521" s="9"/>
      <c r="X521" s="74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316"/>
      <c r="AQ521" s="8"/>
    </row>
    <row r="522" spans="1:43" ht="16.149999999999999" hidden="1" customHeight="1" x14ac:dyDescent="0.25">
      <c r="A522" s="11">
        <f t="shared" si="4"/>
        <v>43</v>
      </c>
      <c r="B522" s="963"/>
      <c r="C522" s="989" t="s">
        <v>286</v>
      </c>
      <c r="D522" s="936" t="s">
        <v>548</v>
      </c>
      <c r="E522" s="1068">
        <v>2.383</v>
      </c>
      <c r="F522" s="1039">
        <v>11554</v>
      </c>
      <c r="G522" s="359"/>
      <c r="H522" s="359"/>
      <c r="I522" s="360"/>
      <c r="J522" s="525"/>
      <c r="K522" s="898"/>
      <c r="L522" s="1007"/>
      <c r="M522" s="27"/>
      <c r="N522" s="27"/>
      <c r="O522" s="361"/>
      <c r="P522" s="362"/>
      <c r="Q522" s="27"/>
      <c r="R522" s="540"/>
      <c r="S522" s="9"/>
      <c r="T522" s="9"/>
      <c r="U522" s="9"/>
      <c r="V522" s="74"/>
      <c r="W522" s="9"/>
      <c r="X522" s="74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316"/>
      <c r="AQ522" s="8"/>
    </row>
    <row r="523" spans="1:43" ht="27" hidden="1" customHeight="1" x14ac:dyDescent="0.25">
      <c r="A523" s="11">
        <f t="shared" si="4"/>
        <v>44</v>
      </c>
      <c r="B523" s="963"/>
      <c r="C523" s="989" t="s">
        <v>934</v>
      </c>
      <c r="D523" s="936" t="s">
        <v>549</v>
      </c>
      <c r="E523" s="1068">
        <v>2.84</v>
      </c>
      <c r="F523" s="1039">
        <v>15709</v>
      </c>
      <c r="G523" s="359"/>
      <c r="H523" s="359"/>
      <c r="I523" s="360"/>
      <c r="J523" s="525"/>
      <c r="K523" s="898"/>
      <c r="L523" s="1007"/>
      <c r="M523" s="27"/>
      <c r="N523" s="27"/>
      <c r="O523" s="361"/>
      <c r="P523" s="362"/>
      <c r="Q523" s="27"/>
      <c r="R523" s="540"/>
      <c r="S523" s="9"/>
      <c r="T523" s="9"/>
      <c r="U523" s="9"/>
      <c r="V523" s="74"/>
      <c r="W523" s="9"/>
      <c r="X523" s="74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316"/>
      <c r="AQ523" s="8"/>
    </row>
    <row r="524" spans="1:43" ht="15.4" hidden="1" customHeight="1" x14ac:dyDescent="0.25">
      <c r="A524" s="11">
        <f t="shared" si="4"/>
        <v>45</v>
      </c>
      <c r="B524" s="963"/>
      <c r="C524" s="989" t="s">
        <v>287</v>
      </c>
      <c r="D524" s="936" t="s">
        <v>550</v>
      </c>
      <c r="E524" s="1068">
        <v>8.6</v>
      </c>
      <c r="F524" s="1039">
        <v>60851</v>
      </c>
      <c r="G524" s="359"/>
      <c r="H524" s="359"/>
      <c r="I524" s="360"/>
      <c r="J524" s="525"/>
      <c r="K524" s="898"/>
      <c r="L524" s="1007"/>
      <c r="M524" s="27"/>
      <c r="N524" s="27"/>
      <c r="O524" s="361"/>
      <c r="P524" s="362"/>
      <c r="Q524" s="27"/>
      <c r="R524" s="540"/>
      <c r="S524" s="9"/>
      <c r="T524" s="9"/>
      <c r="U524" s="9"/>
      <c r="V524" s="74"/>
      <c r="W524" s="9"/>
      <c r="X524" s="74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316"/>
      <c r="AQ524" s="8"/>
    </row>
    <row r="525" spans="1:43" ht="15.4" hidden="1" customHeight="1" x14ac:dyDescent="0.25">
      <c r="A525" s="11">
        <f t="shared" si="4"/>
        <v>46</v>
      </c>
      <c r="B525" s="963"/>
      <c r="C525" s="989" t="s">
        <v>288</v>
      </c>
      <c r="D525" s="936" t="s">
        <v>551</v>
      </c>
      <c r="E525" s="1068">
        <v>3.3650000000000002</v>
      </c>
      <c r="F525" s="1039">
        <v>17973</v>
      </c>
      <c r="G525" s="359"/>
      <c r="H525" s="359"/>
      <c r="I525" s="360"/>
      <c r="J525" s="525"/>
      <c r="K525" s="898"/>
      <c r="L525" s="1007"/>
      <c r="M525" s="27"/>
      <c r="N525" s="27"/>
      <c r="O525" s="361"/>
      <c r="P525" s="362"/>
      <c r="Q525" s="27"/>
      <c r="R525" s="540"/>
      <c r="S525" s="9"/>
      <c r="T525" s="9"/>
      <c r="U525" s="9"/>
      <c r="V525" s="74"/>
      <c r="W525" s="9"/>
      <c r="X525" s="74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316"/>
      <c r="AQ525" s="8"/>
    </row>
    <row r="526" spans="1:43" ht="15.4" hidden="1" customHeight="1" x14ac:dyDescent="0.25">
      <c r="A526" s="11">
        <f t="shared" si="4"/>
        <v>47</v>
      </c>
      <c r="B526" s="963"/>
      <c r="C526" s="989" t="s">
        <v>289</v>
      </c>
      <c r="D526" s="936" t="s">
        <v>552</v>
      </c>
      <c r="E526" s="1068">
        <v>4.5</v>
      </c>
      <c r="F526" s="1039">
        <v>27604</v>
      </c>
      <c r="G526" s="359"/>
      <c r="H526" s="359"/>
      <c r="I526" s="360"/>
      <c r="J526" s="525"/>
      <c r="K526" s="898"/>
      <c r="L526" s="1007"/>
      <c r="M526" s="27"/>
      <c r="N526" s="27"/>
      <c r="O526" s="361"/>
      <c r="P526" s="362"/>
      <c r="Q526" s="27"/>
      <c r="R526" s="540"/>
      <c r="S526" s="9"/>
      <c r="T526" s="9"/>
      <c r="U526" s="9"/>
      <c r="V526" s="74"/>
      <c r="W526" s="9"/>
      <c r="X526" s="74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316"/>
      <c r="AQ526" s="8"/>
    </row>
    <row r="527" spans="1:43" ht="15.4" hidden="1" customHeight="1" x14ac:dyDescent="0.25">
      <c r="A527" s="11">
        <f t="shared" si="4"/>
        <v>48</v>
      </c>
      <c r="B527" s="963"/>
      <c r="C527" s="989" t="s">
        <v>290</v>
      </c>
      <c r="D527" s="936" t="s">
        <v>553</v>
      </c>
      <c r="E527" s="1068">
        <v>4.4729999999999999</v>
      </c>
      <c r="F527" s="1039">
        <v>19843</v>
      </c>
      <c r="G527" s="359"/>
      <c r="H527" s="359"/>
      <c r="I527" s="360"/>
      <c r="J527" s="525"/>
      <c r="K527" s="898"/>
      <c r="L527" s="1007"/>
      <c r="M527" s="27"/>
      <c r="N527" s="27"/>
      <c r="O527" s="361"/>
      <c r="P527" s="362"/>
      <c r="Q527" s="27"/>
      <c r="R527" s="540"/>
      <c r="S527" s="9"/>
      <c r="T527" s="9"/>
      <c r="U527" s="9"/>
      <c r="V527" s="74"/>
      <c r="W527" s="9"/>
      <c r="X527" s="74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316"/>
      <c r="AQ527" s="8"/>
    </row>
    <row r="528" spans="1:43" ht="15.4" hidden="1" customHeight="1" x14ac:dyDescent="0.25">
      <c r="A528" s="11"/>
      <c r="B528" s="963"/>
      <c r="C528" s="46" t="s">
        <v>873</v>
      </c>
      <c r="D528" s="936"/>
      <c r="E528" s="12"/>
      <c r="F528" s="1034"/>
      <c r="G528" s="359"/>
      <c r="H528" s="359"/>
      <c r="I528" s="360"/>
      <c r="J528" s="525"/>
      <c r="K528" s="898"/>
      <c r="L528" s="1007"/>
      <c r="M528" s="27"/>
      <c r="N528" s="27"/>
      <c r="O528" s="361"/>
      <c r="P528" s="362"/>
      <c r="Q528" s="27"/>
      <c r="R528" s="540"/>
      <c r="S528" s="9"/>
      <c r="T528" s="9"/>
      <c r="U528" s="9"/>
      <c r="V528" s="74"/>
      <c r="W528" s="9"/>
      <c r="X528" s="74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316"/>
      <c r="AQ528" s="8"/>
    </row>
    <row r="529" spans="1:43" ht="28.9" hidden="1" customHeight="1" x14ac:dyDescent="0.25">
      <c r="A529" s="11">
        <f>A527+1</f>
        <v>49</v>
      </c>
      <c r="B529" s="963"/>
      <c r="C529" s="989" t="s">
        <v>935</v>
      </c>
      <c r="D529" s="936" t="s">
        <v>554</v>
      </c>
      <c r="E529" s="1068">
        <v>14.875</v>
      </c>
      <c r="F529" s="1039">
        <v>103123</v>
      </c>
      <c r="G529" s="359"/>
      <c r="H529" s="359"/>
      <c r="I529" s="360"/>
      <c r="J529" s="525"/>
      <c r="K529" s="898"/>
      <c r="L529" s="1007"/>
      <c r="M529" s="27"/>
      <c r="N529" s="27"/>
      <c r="O529" s="361"/>
      <c r="P529" s="362"/>
      <c r="Q529" s="27"/>
      <c r="R529" s="540"/>
      <c r="S529" s="9"/>
      <c r="T529" s="9"/>
      <c r="U529" s="9"/>
      <c r="V529" s="74"/>
      <c r="W529" s="9"/>
      <c r="X529" s="74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316"/>
      <c r="AQ529" s="8"/>
    </row>
    <row r="530" spans="1:43" ht="16.149999999999999" hidden="1" customHeight="1" x14ac:dyDescent="0.25">
      <c r="A530" s="11">
        <f t="shared" si="4"/>
        <v>50</v>
      </c>
      <c r="B530" s="963"/>
      <c r="C530" s="989" t="s">
        <v>291</v>
      </c>
      <c r="D530" s="936" t="s">
        <v>555</v>
      </c>
      <c r="E530" s="1068">
        <v>12.93</v>
      </c>
      <c r="F530" s="1039">
        <v>140141</v>
      </c>
      <c r="G530" s="359"/>
      <c r="H530" s="359"/>
      <c r="I530" s="360"/>
      <c r="J530" s="525"/>
      <c r="K530" s="898"/>
      <c r="L530" s="1007"/>
      <c r="M530" s="27"/>
      <c r="N530" s="27"/>
      <c r="O530" s="361"/>
      <c r="P530" s="362"/>
      <c r="Q530" s="27"/>
      <c r="R530" s="540"/>
      <c r="S530" s="9"/>
      <c r="T530" s="9"/>
      <c r="U530" s="9"/>
      <c r="V530" s="74"/>
      <c r="W530" s="9"/>
      <c r="X530" s="74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316"/>
      <c r="AQ530" s="8"/>
    </row>
    <row r="531" spans="1:43" ht="16.149999999999999" hidden="1" customHeight="1" x14ac:dyDescent="0.25">
      <c r="A531" s="11">
        <f t="shared" si="4"/>
        <v>51</v>
      </c>
      <c r="B531" s="963"/>
      <c r="C531" s="989" t="s">
        <v>292</v>
      </c>
      <c r="D531" s="936" t="s">
        <v>556</v>
      </c>
      <c r="E531" s="1068">
        <f>25.007+5.222</f>
        <v>30.229000000000003</v>
      </c>
      <c r="F531" s="1039">
        <f>196977+52102</f>
        <v>249079</v>
      </c>
      <c r="G531" s="359"/>
      <c r="H531" s="359"/>
      <c r="I531" s="360"/>
      <c r="J531" s="525"/>
      <c r="K531" s="898"/>
      <c r="L531" s="1007"/>
      <c r="M531" s="27"/>
      <c r="N531" s="27"/>
      <c r="O531" s="361"/>
      <c r="P531" s="362"/>
      <c r="Q531" s="27"/>
      <c r="R531" s="540"/>
      <c r="S531" s="9"/>
      <c r="T531" s="9"/>
      <c r="U531" s="9"/>
      <c r="V531" s="74"/>
      <c r="W531" s="9"/>
      <c r="X531" s="74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316"/>
      <c r="AQ531" s="8"/>
    </row>
    <row r="532" spans="1:43" ht="16.149999999999999" hidden="1" customHeight="1" x14ac:dyDescent="0.25">
      <c r="A532" s="11">
        <f t="shared" ref="A532:A602" si="5">A531+1</f>
        <v>52</v>
      </c>
      <c r="B532" s="963"/>
      <c r="C532" s="989" t="s">
        <v>293</v>
      </c>
      <c r="D532" s="936" t="s">
        <v>557</v>
      </c>
      <c r="E532" s="1068">
        <v>6.3010000000000002</v>
      </c>
      <c r="F532" s="1039">
        <v>38530</v>
      </c>
      <c r="G532" s="359"/>
      <c r="H532" s="359"/>
      <c r="I532" s="360"/>
      <c r="J532" s="525"/>
      <c r="K532" s="898"/>
      <c r="L532" s="1007"/>
      <c r="M532" s="27"/>
      <c r="N532" s="27"/>
      <c r="O532" s="361"/>
      <c r="P532" s="362"/>
      <c r="Q532" s="27"/>
      <c r="R532" s="540"/>
      <c r="S532" s="9"/>
      <c r="T532" s="9"/>
      <c r="U532" s="9"/>
      <c r="V532" s="74"/>
      <c r="W532" s="9"/>
      <c r="X532" s="74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316"/>
      <c r="AQ532" s="8"/>
    </row>
    <row r="533" spans="1:43" ht="16.149999999999999" hidden="1" customHeight="1" x14ac:dyDescent="0.25">
      <c r="A533" s="11">
        <f t="shared" si="5"/>
        <v>53</v>
      </c>
      <c r="B533" s="963"/>
      <c r="C533" s="989" t="s">
        <v>294</v>
      </c>
      <c r="D533" s="936" t="s">
        <v>558</v>
      </c>
      <c r="E533" s="1068">
        <v>33.298999999999999</v>
      </c>
      <c r="F533" s="1039">
        <v>191388</v>
      </c>
      <c r="G533" s="359"/>
      <c r="H533" s="359"/>
      <c r="I533" s="360"/>
      <c r="J533" s="525"/>
      <c r="K533" s="898"/>
      <c r="L533" s="1007"/>
      <c r="M533" s="27"/>
      <c r="N533" s="27"/>
      <c r="O533" s="361"/>
      <c r="P533" s="362"/>
      <c r="Q533" s="27"/>
      <c r="R533" s="540"/>
      <c r="S533" s="9"/>
      <c r="T533" s="9"/>
      <c r="U533" s="9"/>
      <c r="V533" s="74"/>
      <c r="W533" s="9"/>
      <c r="X533" s="74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316"/>
      <c r="AQ533" s="8"/>
    </row>
    <row r="534" spans="1:43" ht="16.149999999999999" hidden="1" customHeight="1" x14ac:dyDescent="0.25">
      <c r="A534" s="11">
        <f t="shared" si="5"/>
        <v>54</v>
      </c>
      <c r="B534" s="963"/>
      <c r="C534" s="989" t="s">
        <v>936</v>
      </c>
      <c r="D534" s="936" t="s">
        <v>559</v>
      </c>
      <c r="E534" s="1068">
        <v>6.9</v>
      </c>
      <c r="F534" s="1039">
        <v>40720</v>
      </c>
      <c r="G534" s="359"/>
      <c r="H534" s="359"/>
      <c r="I534" s="360"/>
      <c r="J534" s="525"/>
      <c r="K534" s="898"/>
      <c r="L534" s="1007"/>
      <c r="M534" s="27"/>
      <c r="N534" s="27"/>
      <c r="O534" s="361"/>
      <c r="P534" s="362"/>
      <c r="Q534" s="27"/>
      <c r="R534" s="540"/>
      <c r="S534" s="9"/>
      <c r="T534" s="9"/>
      <c r="U534" s="9"/>
      <c r="V534" s="74"/>
      <c r="W534" s="9"/>
      <c r="X534" s="74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316"/>
      <c r="AQ534" s="8"/>
    </row>
    <row r="535" spans="1:43" ht="16.149999999999999" hidden="1" customHeight="1" x14ac:dyDescent="0.25">
      <c r="A535" s="11">
        <f t="shared" si="5"/>
        <v>55</v>
      </c>
      <c r="B535" s="963"/>
      <c r="C535" s="989" t="s">
        <v>937</v>
      </c>
      <c r="D535" s="936" t="s">
        <v>560</v>
      </c>
      <c r="E535" s="1068">
        <v>1.55</v>
      </c>
      <c r="F535" s="1039">
        <v>9535</v>
      </c>
      <c r="G535" s="359"/>
      <c r="H535" s="359"/>
      <c r="I535" s="360"/>
      <c r="J535" s="525"/>
      <c r="K535" s="898"/>
      <c r="L535" s="1007"/>
      <c r="M535" s="27"/>
      <c r="N535" s="27"/>
      <c r="O535" s="361"/>
      <c r="P535" s="362"/>
      <c r="Q535" s="27"/>
      <c r="R535" s="540"/>
      <c r="S535" s="9"/>
      <c r="T535" s="9"/>
      <c r="U535" s="9"/>
      <c r="V535" s="74"/>
      <c r="W535" s="9"/>
      <c r="X535" s="74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316"/>
      <c r="AQ535" s="8"/>
    </row>
    <row r="536" spans="1:43" ht="30.2" hidden="1" customHeight="1" x14ac:dyDescent="0.25">
      <c r="A536" s="11">
        <f t="shared" si="5"/>
        <v>56</v>
      </c>
      <c r="B536" s="963"/>
      <c r="C536" s="989" t="s">
        <v>938</v>
      </c>
      <c r="D536" s="936" t="s">
        <v>561</v>
      </c>
      <c r="E536" s="1068">
        <v>12.673999999999999</v>
      </c>
      <c r="F536" s="1039">
        <v>80367</v>
      </c>
      <c r="G536" s="359"/>
      <c r="H536" s="359"/>
      <c r="I536" s="360"/>
      <c r="J536" s="525"/>
      <c r="K536" s="898"/>
      <c r="L536" s="1007"/>
      <c r="M536" s="27"/>
      <c r="N536" s="27"/>
      <c r="O536" s="361"/>
      <c r="P536" s="362"/>
      <c r="Q536" s="27"/>
      <c r="R536" s="540"/>
      <c r="S536" s="9"/>
      <c r="T536" s="9"/>
      <c r="U536" s="9"/>
      <c r="V536" s="74"/>
      <c r="W536" s="9"/>
      <c r="X536" s="74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316"/>
      <c r="AQ536" s="8"/>
    </row>
    <row r="537" spans="1:43" ht="16.7" hidden="1" customHeight="1" x14ac:dyDescent="0.25">
      <c r="A537" s="11">
        <f t="shared" si="5"/>
        <v>57</v>
      </c>
      <c r="B537" s="963"/>
      <c r="C537" s="989" t="s">
        <v>295</v>
      </c>
      <c r="D537" s="936" t="s">
        <v>562</v>
      </c>
      <c r="E537" s="1068">
        <v>13.016999999999999</v>
      </c>
      <c r="F537" s="1039">
        <v>79472</v>
      </c>
      <c r="G537" s="359"/>
      <c r="H537" s="359"/>
      <c r="I537" s="360"/>
      <c r="J537" s="525"/>
      <c r="K537" s="898"/>
      <c r="L537" s="1007"/>
      <c r="M537" s="27"/>
      <c r="N537" s="27"/>
      <c r="O537" s="361"/>
      <c r="P537" s="362"/>
      <c r="Q537" s="27"/>
      <c r="R537" s="540"/>
      <c r="S537" s="9"/>
      <c r="T537" s="9"/>
      <c r="U537" s="9"/>
      <c r="V537" s="74"/>
      <c r="W537" s="9"/>
      <c r="X537" s="74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316"/>
      <c r="AQ537" s="8"/>
    </row>
    <row r="538" spans="1:43" ht="16.7" hidden="1" customHeight="1" x14ac:dyDescent="0.25">
      <c r="A538" s="11">
        <f t="shared" si="5"/>
        <v>58</v>
      </c>
      <c r="B538" s="963"/>
      <c r="C538" s="989" t="s">
        <v>296</v>
      </c>
      <c r="D538" s="936" t="s">
        <v>563</v>
      </c>
      <c r="E538" s="1068">
        <v>2.46</v>
      </c>
      <c r="F538" s="1039">
        <v>25832</v>
      </c>
      <c r="G538" s="359"/>
      <c r="H538" s="359"/>
      <c r="I538" s="360"/>
      <c r="J538" s="525"/>
      <c r="K538" s="898"/>
      <c r="L538" s="1007"/>
      <c r="M538" s="27"/>
      <c r="N538" s="27"/>
      <c r="O538" s="361"/>
      <c r="P538" s="362"/>
      <c r="Q538" s="27"/>
      <c r="R538" s="540"/>
      <c r="S538" s="9"/>
      <c r="T538" s="9"/>
      <c r="U538" s="9"/>
      <c r="V538" s="74"/>
      <c r="W538" s="9"/>
      <c r="X538" s="74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316"/>
      <c r="AQ538" s="8"/>
    </row>
    <row r="539" spans="1:43" ht="16.7" hidden="1" customHeight="1" x14ac:dyDescent="0.25">
      <c r="A539" s="11">
        <f t="shared" si="5"/>
        <v>59</v>
      </c>
      <c r="B539" s="963"/>
      <c r="C539" s="989" t="s">
        <v>297</v>
      </c>
      <c r="D539" s="936" t="s">
        <v>564</v>
      </c>
      <c r="E539" s="1068">
        <v>7.74</v>
      </c>
      <c r="F539" s="1039">
        <v>53110</v>
      </c>
      <c r="G539" s="359"/>
      <c r="H539" s="359"/>
      <c r="I539" s="360"/>
      <c r="J539" s="525"/>
      <c r="K539" s="898"/>
      <c r="L539" s="1007"/>
      <c r="M539" s="27"/>
      <c r="N539" s="27"/>
      <c r="O539" s="361"/>
      <c r="P539" s="362"/>
      <c r="Q539" s="27"/>
      <c r="R539" s="540"/>
      <c r="S539" s="9"/>
      <c r="T539" s="9"/>
      <c r="U539" s="9"/>
      <c r="V539" s="74"/>
      <c r="W539" s="9"/>
      <c r="X539" s="74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316"/>
      <c r="AQ539" s="8"/>
    </row>
    <row r="540" spans="1:43" ht="14.85" hidden="1" customHeight="1" x14ac:dyDescent="0.25">
      <c r="A540" s="11">
        <f t="shared" si="5"/>
        <v>60</v>
      </c>
      <c r="B540" s="963"/>
      <c r="C540" s="989" t="s">
        <v>939</v>
      </c>
      <c r="D540" s="936" t="s">
        <v>565</v>
      </c>
      <c r="E540" s="1068">
        <v>2</v>
      </c>
      <c r="F540" s="1039">
        <v>12808</v>
      </c>
      <c r="G540" s="359"/>
      <c r="H540" s="359"/>
      <c r="I540" s="360"/>
      <c r="J540" s="525"/>
      <c r="K540" s="898"/>
      <c r="L540" s="1007"/>
      <c r="M540" s="27"/>
      <c r="N540" s="27"/>
      <c r="O540" s="361"/>
      <c r="P540" s="362"/>
      <c r="Q540" s="27"/>
      <c r="R540" s="540"/>
      <c r="S540" s="9"/>
      <c r="T540" s="9"/>
      <c r="U540" s="9"/>
      <c r="V540" s="74"/>
      <c r="W540" s="9"/>
      <c r="X540" s="74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316"/>
      <c r="AQ540" s="8"/>
    </row>
    <row r="541" spans="1:43" ht="15.4" hidden="1" customHeight="1" x14ac:dyDescent="0.25">
      <c r="A541" s="11">
        <f t="shared" si="5"/>
        <v>61</v>
      </c>
      <c r="B541" s="963"/>
      <c r="C541" s="989" t="s">
        <v>298</v>
      </c>
      <c r="D541" s="936" t="s">
        <v>566</v>
      </c>
      <c r="E541" s="1068">
        <v>1.716</v>
      </c>
      <c r="F541" s="1039">
        <v>10896</v>
      </c>
      <c r="G541" s="359"/>
      <c r="H541" s="359"/>
      <c r="I541" s="360"/>
      <c r="J541" s="525"/>
      <c r="K541" s="898"/>
      <c r="L541" s="1007"/>
      <c r="M541" s="27"/>
      <c r="N541" s="27"/>
      <c r="O541" s="361"/>
      <c r="P541" s="362"/>
      <c r="Q541" s="27"/>
      <c r="R541" s="540"/>
      <c r="S541" s="9"/>
      <c r="T541" s="9"/>
      <c r="U541" s="9"/>
      <c r="V541" s="74"/>
      <c r="W541" s="9"/>
      <c r="X541" s="74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316"/>
      <c r="AQ541" s="8"/>
    </row>
    <row r="542" spans="1:43" ht="15.4" hidden="1" customHeight="1" x14ac:dyDescent="0.25">
      <c r="A542" s="11">
        <f t="shared" si="5"/>
        <v>62</v>
      </c>
      <c r="B542" s="963"/>
      <c r="C542" s="989" t="s">
        <v>299</v>
      </c>
      <c r="D542" s="936" t="s">
        <v>567</v>
      </c>
      <c r="E542" s="1068">
        <v>6.548</v>
      </c>
      <c r="F542" s="1039">
        <v>38329</v>
      </c>
      <c r="G542" s="359"/>
      <c r="H542" s="359"/>
      <c r="I542" s="360"/>
      <c r="J542" s="525"/>
      <c r="K542" s="898"/>
      <c r="L542" s="1007"/>
      <c r="M542" s="27"/>
      <c r="N542" s="27"/>
      <c r="O542" s="361"/>
      <c r="P542" s="362"/>
      <c r="Q542" s="27"/>
      <c r="R542" s="540"/>
      <c r="S542" s="9"/>
      <c r="T542" s="9"/>
      <c r="U542" s="9"/>
      <c r="V542" s="74"/>
      <c r="W542" s="9"/>
      <c r="X542" s="74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316"/>
      <c r="AQ542" s="8"/>
    </row>
    <row r="543" spans="1:43" ht="15.4" hidden="1" customHeight="1" x14ac:dyDescent="0.25">
      <c r="A543" s="11">
        <f t="shared" si="5"/>
        <v>63</v>
      </c>
      <c r="B543" s="963"/>
      <c r="C543" s="989" t="s">
        <v>300</v>
      </c>
      <c r="D543" s="936" t="s">
        <v>568</v>
      </c>
      <c r="E543" s="1068">
        <f>3.1+2.72</f>
        <v>5.82</v>
      </c>
      <c r="F543" s="1039">
        <f>20336+10840</f>
        <v>31176</v>
      </c>
      <c r="G543" s="359"/>
      <c r="H543" s="359"/>
      <c r="I543" s="360"/>
      <c r="J543" s="525"/>
      <c r="K543" s="898"/>
      <c r="L543" s="1007"/>
      <c r="M543" s="27"/>
      <c r="N543" s="27"/>
      <c r="O543" s="361"/>
      <c r="P543" s="362"/>
      <c r="Q543" s="27"/>
      <c r="R543" s="540"/>
      <c r="S543" s="9"/>
      <c r="T543" s="9"/>
      <c r="U543" s="9"/>
      <c r="V543" s="74"/>
      <c r="W543" s="9"/>
      <c r="X543" s="74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316"/>
      <c r="AQ543" s="8"/>
    </row>
    <row r="544" spans="1:43" ht="15.4" hidden="1" customHeight="1" x14ac:dyDescent="0.25">
      <c r="A544" s="11">
        <f t="shared" si="5"/>
        <v>64</v>
      </c>
      <c r="B544" s="963"/>
      <c r="C544" s="989" t="s">
        <v>940</v>
      </c>
      <c r="D544" s="936" t="s">
        <v>569</v>
      </c>
      <c r="E544" s="1068">
        <v>3.22</v>
      </c>
      <c r="F544" s="1039">
        <v>19732</v>
      </c>
      <c r="G544" s="359"/>
      <c r="H544" s="359"/>
      <c r="I544" s="360"/>
      <c r="J544" s="525"/>
      <c r="K544" s="898"/>
      <c r="L544" s="1007"/>
      <c r="M544" s="27"/>
      <c r="N544" s="27"/>
      <c r="O544" s="361"/>
      <c r="P544" s="362"/>
      <c r="Q544" s="27"/>
      <c r="R544" s="540"/>
      <c r="S544" s="9"/>
      <c r="T544" s="9"/>
      <c r="U544" s="9"/>
      <c r="V544" s="74"/>
      <c r="W544" s="9"/>
      <c r="X544" s="74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316"/>
      <c r="AQ544" s="8"/>
    </row>
    <row r="545" spans="1:43" ht="17.649999999999999" hidden="1" customHeight="1" x14ac:dyDescent="0.25">
      <c r="A545" s="11">
        <f t="shared" si="5"/>
        <v>65</v>
      </c>
      <c r="B545" s="963"/>
      <c r="C545" s="989" t="s">
        <v>941</v>
      </c>
      <c r="D545" s="936" t="s">
        <v>570</v>
      </c>
      <c r="E545" s="1040">
        <v>1.6</v>
      </c>
      <c r="F545" s="1036">
        <v>7826</v>
      </c>
      <c r="G545" s="359"/>
      <c r="H545" s="359"/>
      <c r="I545" s="360"/>
      <c r="J545" s="525"/>
      <c r="K545" s="898"/>
      <c r="L545" s="1007"/>
      <c r="M545" s="27"/>
      <c r="N545" s="27"/>
      <c r="O545" s="361"/>
      <c r="P545" s="362"/>
      <c r="Q545" s="27"/>
      <c r="R545" s="540"/>
      <c r="S545" s="9"/>
      <c r="T545" s="9"/>
      <c r="U545" s="9"/>
      <c r="V545" s="74"/>
      <c r="W545" s="9"/>
      <c r="X545" s="74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316"/>
      <c r="AQ545" s="8"/>
    </row>
    <row r="546" spans="1:43" ht="29.65" hidden="1" customHeight="1" x14ac:dyDescent="0.25">
      <c r="A546" s="11">
        <f t="shared" si="5"/>
        <v>66</v>
      </c>
      <c r="B546" s="963"/>
      <c r="C546" s="989" t="s">
        <v>301</v>
      </c>
      <c r="D546" s="936" t="s">
        <v>571</v>
      </c>
      <c r="E546" s="1068">
        <v>9.9130000000000003</v>
      </c>
      <c r="F546" s="1039">
        <v>44946</v>
      </c>
      <c r="G546" s="359"/>
      <c r="H546" s="359"/>
      <c r="I546" s="360"/>
      <c r="J546" s="525"/>
      <c r="K546" s="898"/>
      <c r="L546" s="1007"/>
      <c r="M546" s="27"/>
      <c r="N546" s="27"/>
      <c r="O546" s="361"/>
      <c r="P546" s="362"/>
      <c r="Q546" s="27"/>
      <c r="R546" s="540"/>
      <c r="S546" s="9"/>
      <c r="T546" s="9"/>
      <c r="U546" s="9"/>
      <c r="V546" s="74"/>
      <c r="W546" s="9"/>
      <c r="X546" s="74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316"/>
      <c r="AQ546" s="8"/>
    </row>
    <row r="547" spans="1:43" ht="16.7" hidden="1" customHeight="1" x14ac:dyDescent="0.25">
      <c r="A547" s="11">
        <f t="shared" si="5"/>
        <v>67</v>
      </c>
      <c r="B547" s="963"/>
      <c r="C547" s="989" t="s">
        <v>302</v>
      </c>
      <c r="D547" s="936" t="s">
        <v>572</v>
      </c>
      <c r="E547" s="1068">
        <v>6.7160000000000002</v>
      </c>
      <c r="F547" s="1039">
        <v>40166</v>
      </c>
      <c r="G547" s="359"/>
      <c r="H547" s="359"/>
      <c r="I547" s="360"/>
      <c r="J547" s="525"/>
      <c r="K547" s="898"/>
      <c r="L547" s="1007"/>
      <c r="M547" s="27"/>
      <c r="N547" s="27"/>
      <c r="O547" s="361"/>
      <c r="P547" s="362"/>
      <c r="Q547" s="27"/>
      <c r="R547" s="540"/>
      <c r="S547" s="9"/>
      <c r="T547" s="9"/>
      <c r="U547" s="9"/>
      <c r="V547" s="74"/>
      <c r="W547" s="9"/>
      <c r="X547" s="74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316"/>
      <c r="AQ547" s="8"/>
    </row>
    <row r="548" spans="1:43" ht="17.649999999999999" hidden="1" customHeight="1" x14ac:dyDescent="0.25">
      <c r="A548" s="11">
        <f t="shared" si="5"/>
        <v>68</v>
      </c>
      <c r="B548" s="963"/>
      <c r="C548" s="989" t="s">
        <v>942</v>
      </c>
      <c r="D548" s="936" t="s">
        <v>573</v>
      </c>
      <c r="E548" s="1068">
        <v>2</v>
      </c>
      <c r="F548" s="1039">
        <v>7457</v>
      </c>
      <c r="G548" s="359"/>
      <c r="H548" s="359"/>
      <c r="I548" s="360"/>
      <c r="J548" s="525"/>
      <c r="K548" s="898"/>
      <c r="L548" s="1007"/>
      <c r="M548" s="27"/>
      <c r="N548" s="27"/>
      <c r="O548" s="361"/>
      <c r="P548" s="362"/>
      <c r="Q548" s="27"/>
      <c r="R548" s="540"/>
      <c r="S548" s="9"/>
      <c r="T548" s="9"/>
      <c r="U548" s="9"/>
      <c r="V548" s="74"/>
      <c r="W548" s="9"/>
      <c r="X548" s="74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316"/>
      <c r="AQ548" s="8"/>
    </row>
    <row r="549" spans="1:43" ht="18.600000000000001" hidden="1" customHeight="1" x14ac:dyDescent="0.25">
      <c r="A549" s="11">
        <f t="shared" si="5"/>
        <v>69</v>
      </c>
      <c r="B549" s="963"/>
      <c r="C549" s="989" t="s">
        <v>943</v>
      </c>
      <c r="D549" s="936" t="s">
        <v>574</v>
      </c>
      <c r="E549" s="1068">
        <v>3.3</v>
      </c>
      <c r="F549" s="1039">
        <v>13344</v>
      </c>
      <c r="G549" s="359"/>
      <c r="H549" s="359"/>
      <c r="I549" s="360"/>
      <c r="J549" s="525"/>
      <c r="K549" s="898"/>
      <c r="L549" s="1007"/>
      <c r="M549" s="27"/>
      <c r="N549" s="27"/>
      <c r="O549" s="361"/>
      <c r="P549" s="362"/>
      <c r="Q549" s="27"/>
      <c r="R549" s="540"/>
      <c r="S549" s="9"/>
      <c r="T549" s="9"/>
      <c r="U549" s="9"/>
      <c r="V549" s="74"/>
      <c r="W549" s="9"/>
      <c r="X549" s="74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316"/>
      <c r="AQ549" s="8"/>
    </row>
    <row r="550" spans="1:43" ht="14.85" hidden="1" customHeight="1" x14ac:dyDescent="0.25">
      <c r="A550" s="11">
        <f t="shared" si="5"/>
        <v>70</v>
      </c>
      <c r="B550" s="963"/>
      <c r="C550" s="989" t="s">
        <v>944</v>
      </c>
      <c r="D550" s="936" t="s">
        <v>575</v>
      </c>
      <c r="E550" s="1068">
        <v>1.9</v>
      </c>
      <c r="F550" s="1039">
        <v>13920</v>
      </c>
      <c r="G550" s="359"/>
      <c r="H550" s="359"/>
      <c r="I550" s="360"/>
      <c r="J550" s="525"/>
      <c r="K550" s="898"/>
      <c r="L550" s="1007"/>
      <c r="M550" s="27"/>
      <c r="N550" s="27"/>
      <c r="O550" s="361"/>
      <c r="P550" s="362"/>
      <c r="Q550" s="27"/>
      <c r="R550" s="540"/>
      <c r="S550" s="9"/>
      <c r="T550" s="9"/>
      <c r="U550" s="9"/>
      <c r="V550" s="74"/>
      <c r="W550" s="9"/>
      <c r="X550" s="74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316"/>
      <c r="AQ550" s="8"/>
    </row>
    <row r="551" spans="1:43" ht="14.85" hidden="1" customHeight="1" x14ac:dyDescent="0.25">
      <c r="A551" s="11">
        <f t="shared" si="5"/>
        <v>71</v>
      </c>
      <c r="B551" s="963"/>
      <c r="C551" s="989" t="s">
        <v>303</v>
      </c>
      <c r="D551" s="936" t="s">
        <v>576</v>
      </c>
      <c r="E551" s="1068">
        <v>5.55</v>
      </c>
      <c r="F551" s="1039">
        <v>34535</v>
      </c>
      <c r="G551" s="359"/>
      <c r="H551" s="359"/>
      <c r="I551" s="360"/>
      <c r="J551" s="525"/>
      <c r="K551" s="898"/>
      <c r="L551" s="1007"/>
      <c r="M551" s="27"/>
      <c r="N551" s="27"/>
      <c r="O551" s="361"/>
      <c r="P551" s="362"/>
      <c r="Q551" s="27"/>
      <c r="R551" s="540"/>
      <c r="S551" s="9"/>
      <c r="T551" s="9"/>
      <c r="U551" s="9"/>
      <c r="V551" s="74"/>
      <c r="W551" s="9"/>
      <c r="X551" s="74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316"/>
      <c r="AQ551" s="8"/>
    </row>
    <row r="552" spans="1:43" ht="17.649999999999999" hidden="1" customHeight="1" x14ac:dyDescent="0.25">
      <c r="A552" s="11">
        <f t="shared" si="5"/>
        <v>72</v>
      </c>
      <c r="B552" s="963"/>
      <c r="C552" s="989" t="s">
        <v>945</v>
      </c>
      <c r="D552" s="936" t="s">
        <v>577</v>
      </c>
      <c r="E552" s="1068">
        <v>3.1659999999999999</v>
      </c>
      <c r="F552" s="1039">
        <v>17239</v>
      </c>
      <c r="G552" s="359"/>
      <c r="H552" s="359"/>
      <c r="I552" s="360"/>
      <c r="J552" s="525"/>
      <c r="K552" s="898"/>
      <c r="L552" s="1007"/>
      <c r="M552" s="27"/>
      <c r="N552" s="27"/>
      <c r="O552" s="361"/>
      <c r="P552" s="362"/>
      <c r="Q552" s="27"/>
      <c r="R552" s="540"/>
      <c r="S552" s="9"/>
      <c r="T552" s="9"/>
      <c r="U552" s="9"/>
      <c r="V552" s="74"/>
      <c r="W552" s="9"/>
      <c r="X552" s="74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316"/>
      <c r="AQ552" s="8"/>
    </row>
    <row r="553" spans="1:43" ht="17.649999999999999" hidden="1" customHeight="1" thickBot="1" x14ac:dyDescent="0.3">
      <c r="A553" s="156"/>
      <c r="B553" s="892"/>
      <c r="C553" s="184" t="s">
        <v>874</v>
      </c>
      <c r="D553" s="998"/>
      <c r="E553" s="1040"/>
      <c r="F553" s="1036"/>
      <c r="G553" s="367"/>
      <c r="H553" s="367"/>
      <c r="I553" s="368"/>
      <c r="J553" s="160"/>
      <c r="K553" s="885"/>
      <c r="L553" s="385"/>
      <c r="M553" s="27"/>
      <c r="N553" s="27"/>
      <c r="O553" s="361"/>
      <c r="P553" s="362"/>
      <c r="Q553" s="27"/>
      <c r="R553" s="540"/>
      <c r="S553" s="9"/>
      <c r="T553" s="9"/>
      <c r="U553" s="9"/>
      <c r="V553" s="74"/>
      <c r="W553" s="9"/>
      <c r="X553" s="74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316"/>
      <c r="AQ553" s="8"/>
    </row>
    <row r="554" spans="1:43" ht="30.2" customHeight="1" x14ac:dyDescent="0.25">
      <c r="A554" s="1371">
        <v>16</v>
      </c>
      <c r="B554" s="1685">
        <v>1960305</v>
      </c>
      <c r="C554" s="1353" t="s">
        <v>304</v>
      </c>
      <c r="D554" s="1362" t="s">
        <v>46</v>
      </c>
      <c r="E554" s="1534">
        <v>32.24</v>
      </c>
      <c r="F554" s="1508">
        <v>215983</v>
      </c>
      <c r="G554" s="1477" t="s">
        <v>1031</v>
      </c>
      <c r="H554" s="1198" t="s">
        <v>1060</v>
      </c>
      <c r="I554" s="1190" t="s">
        <v>7</v>
      </c>
      <c r="J554" s="1041">
        <f>4.69+1.31</f>
        <v>6</v>
      </c>
      <c r="K554" s="162" t="s">
        <v>2</v>
      </c>
      <c r="L554" s="1282">
        <v>11755.973</v>
      </c>
      <c r="M554" s="178"/>
      <c r="N554" s="9"/>
      <c r="O554" s="65"/>
      <c r="P554" s="74"/>
      <c r="Q554" s="9"/>
      <c r="R554" s="1030"/>
      <c r="S554" s="9"/>
      <c r="T554" s="9"/>
      <c r="U554" s="9"/>
      <c r="V554" s="74"/>
      <c r="W554" s="9"/>
      <c r="X554" s="74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316"/>
      <c r="AQ554" s="1158" t="s">
        <v>1200</v>
      </c>
    </row>
    <row r="555" spans="1:43" ht="20.65" customHeight="1" thickBot="1" x14ac:dyDescent="0.3">
      <c r="A555" s="1372"/>
      <c r="B555" s="1328"/>
      <c r="C555" s="1304"/>
      <c r="D555" s="1363"/>
      <c r="E555" s="1535"/>
      <c r="F555" s="1496"/>
      <c r="G555" s="1479"/>
      <c r="H555" s="1200"/>
      <c r="I555" s="1161"/>
      <c r="J555" s="163">
        <f>38443/6*J554</f>
        <v>38443</v>
      </c>
      <c r="K555" s="158" t="s">
        <v>3</v>
      </c>
      <c r="L555" s="1283"/>
      <c r="M555" s="178"/>
      <c r="N555" s="9"/>
      <c r="O555" s="65"/>
      <c r="P555" s="74"/>
      <c r="Q555" s="9"/>
      <c r="R555" s="1030"/>
      <c r="S555" s="9"/>
      <c r="T555" s="9"/>
      <c r="U555" s="9"/>
      <c r="V555" s="74"/>
      <c r="W555" s="9"/>
      <c r="X555" s="74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316"/>
      <c r="AQ555" s="1159"/>
    </row>
    <row r="556" spans="1:43" ht="17.649999999999999" customHeight="1" x14ac:dyDescent="0.25">
      <c r="A556" s="1372"/>
      <c r="B556" s="1328"/>
      <c r="C556" s="1304"/>
      <c r="D556" s="1363"/>
      <c r="E556" s="1535"/>
      <c r="F556" s="1496"/>
      <c r="G556" s="1488" t="s">
        <v>1060</v>
      </c>
      <c r="H556" s="1166" t="s">
        <v>1102</v>
      </c>
      <c r="I556" s="1190" t="s">
        <v>7</v>
      </c>
      <c r="J556" s="1041">
        <f>1.558+5.442</f>
        <v>7</v>
      </c>
      <c r="K556" s="182" t="s">
        <v>2</v>
      </c>
      <c r="L556" s="1282">
        <f>64586.656+6963.263</f>
        <v>71549.919000000009</v>
      </c>
      <c r="M556" s="1852"/>
      <c r="N556" s="1167"/>
      <c r="O556" s="1848"/>
      <c r="P556" s="84"/>
      <c r="Q556" s="42"/>
      <c r="R556" s="535"/>
      <c r="S556" s="9"/>
      <c r="T556" s="9"/>
      <c r="U556" s="9"/>
      <c r="V556" s="74"/>
      <c r="W556" s="9"/>
      <c r="X556" s="74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316"/>
      <c r="AQ556" s="1158" t="s">
        <v>1201</v>
      </c>
    </row>
    <row r="557" spans="1:43" ht="32.1" customHeight="1" thickBot="1" x14ac:dyDescent="0.3">
      <c r="A557" s="1372"/>
      <c r="B557" s="1328"/>
      <c r="C557" s="1304"/>
      <c r="D557" s="1363"/>
      <c r="E557" s="1535"/>
      <c r="F557" s="1496"/>
      <c r="G557" s="1515"/>
      <c r="H557" s="1514"/>
      <c r="I557" s="1402"/>
      <c r="J557" s="1071">
        <f>43202.4/7*J556</f>
        <v>43202.400000000001</v>
      </c>
      <c r="K557" s="1125" t="s">
        <v>3</v>
      </c>
      <c r="L557" s="1388"/>
      <c r="M557" s="1845"/>
      <c r="N557" s="1514"/>
      <c r="O557" s="1849"/>
      <c r="P557" s="338"/>
      <c r="Q557" s="1125"/>
      <c r="R557" s="536"/>
      <c r="S557" s="9"/>
      <c r="T557" s="9"/>
      <c r="U557" s="9"/>
      <c r="V557" s="74"/>
      <c r="W557" s="9"/>
      <c r="X557" s="74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316"/>
      <c r="AQ557" s="1159"/>
    </row>
    <row r="558" spans="1:43" ht="27" customHeight="1" x14ac:dyDescent="0.25">
      <c r="A558" s="1372"/>
      <c r="B558" s="1328"/>
      <c r="C558" s="1304"/>
      <c r="D558" s="1363"/>
      <c r="E558" s="1535"/>
      <c r="F558" s="1496"/>
      <c r="G558" s="462"/>
      <c r="H558" s="978"/>
      <c r="I558" s="490"/>
      <c r="J558" s="469"/>
      <c r="K558" s="470"/>
      <c r="L558" s="948"/>
      <c r="M558" s="1279" t="s">
        <v>1102</v>
      </c>
      <c r="N558" s="1279" t="s">
        <v>1203</v>
      </c>
      <c r="O558" s="1207" t="s">
        <v>7</v>
      </c>
      <c r="P558" s="929">
        <v>9.8079999999999998</v>
      </c>
      <c r="Q558" s="182" t="s">
        <v>2</v>
      </c>
      <c r="R558" s="1191">
        <f>89175.0765-R560</f>
        <v>88359.31749999999</v>
      </c>
      <c r="S558" s="178"/>
      <c r="T558" s="9"/>
      <c r="U558" s="9"/>
      <c r="V558" s="74"/>
      <c r="W558" s="9"/>
      <c r="X558" s="74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316"/>
      <c r="AQ558" s="936"/>
    </row>
    <row r="559" spans="1:43" ht="23.85" customHeight="1" x14ac:dyDescent="0.25">
      <c r="A559" s="1372"/>
      <c r="B559" s="1328"/>
      <c r="C559" s="1304"/>
      <c r="D559" s="1363"/>
      <c r="E559" s="1535"/>
      <c r="F559" s="1496"/>
      <c r="G559" s="1055"/>
      <c r="H559" s="979"/>
      <c r="I559" s="950"/>
      <c r="J559" s="1047"/>
      <c r="K559" s="1125"/>
      <c r="L559" s="455"/>
      <c r="M559" s="1280"/>
      <c r="N559" s="1280"/>
      <c r="O559" s="1157"/>
      <c r="P559" s="911">
        <v>60204</v>
      </c>
      <c r="Q559" s="42" t="s">
        <v>3</v>
      </c>
      <c r="R559" s="1192"/>
      <c r="S559" s="178"/>
      <c r="T559" s="9"/>
      <c r="U559" s="9"/>
      <c r="V559" s="74"/>
      <c r="W559" s="9"/>
      <c r="X559" s="74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316"/>
      <c r="AQ559" s="936"/>
    </row>
    <row r="560" spans="1:43" ht="36" customHeight="1" thickBot="1" x14ac:dyDescent="0.3">
      <c r="A560" s="1684"/>
      <c r="B560" s="1368"/>
      <c r="C560" s="1257"/>
      <c r="D560" s="1471"/>
      <c r="E560" s="1533"/>
      <c r="F560" s="1497"/>
      <c r="G560" s="1067"/>
      <c r="H560" s="931"/>
      <c r="I560" s="932"/>
      <c r="J560" s="1048"/>
      <c r="K560" s="173"/>
      <c r="L560" s="471"/>
      <c r="M560" s="1163"/>
      <c r="N560" s="1163"/>
      <c r="O560" s="891" t="s">
        <v>32</v>
      </c>
      <c r="P560" s="176">
        <v>133</v>
      </c>
      <c r="Q560" s="169" t="s">
        <v>10</v>
      </c>
      <c r="R560" s="678">
        <v>815.75900000000001</v>
      </c>
      <c r="S560" s="178"/>
      <c r="T560" s="9"/>
      <c r="U560" s="9"/>
      <c r="V560" s="74"/>
      <c r="W560" s="9"/>
      <c r="X560" s="74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316"/>
      <c r="AQ560" s="936"/>
    </row>
    <row r="561" spans="1:43" ht="30.2" hidden="1" customHeight="1" x14ac:dyDescent="0.25">
      <c r="A561" s="11">
        <f>A554+1</f>
        <v>17</v>
      </c>
      <c r="B561" s="963"/>
      <c r="C561" s="989" t="s">
        <v>305</v>
      </c>
      <c r="D561" s="936" t="s">
        <v>578</v>
      </c>
      <c r="E561" s="1068">
        <v>20</v>
      </c>
      <c r="F561" s="1039">
        <v>127344</v>
      </c>
      <c r="G561" s="369"/>
      <c r="H561" s="369"/>
      <c r="I561" s="360"/>
      <c r="J561" s="154"/>
      <c r="K561" s="898"/>
      <c r="L561" s="896"/>
      <c r="M561" s="1128"/>
      <c r="N561" s="1128"/>
      <c r="O561" s="372"/>
      <c r="P561" s="373"/>
      <c r="Q561" s="1128"/>
      <c r="R561" s="661"/>
      <c r="S561" s="9"/>
      <c r="T561" s="9"/>
      <c r="U561" s="9"/>
      <c r="V561" s="74"/>
      <c r="W561" s="9"/>
      <c r="X561" s="74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316"/>
      <c r="AQ561" s="8"/>
    </row>
    <row r="562" spans="1:43" ht="14.25" hidden="1" customHeight="1" x14ac:dyDescent="0.25">
      <c r="A562" s="11">
        <f t="shared" si="5"/>
        <v>18</v>
      </c>
      <c r="B562" s="963"/>
      <c r="C562" s="989" t="s">
        <v>306</v>
      </c>
      <c r="D562" s="936" t="s">
        <v>579</v>
      </c>
      <c r="E562" s="1068">
        <v>15.712999999999999</v>
      </c>
      <c r="F562" s="1039">
        <v>101948</v>
      </c>
      <c r="G562" s="359"/>
      <c r="H562" s="359"/>
      <c r="I562" s="360"/>
      <c r="J562" s="525"/>
      <c r="K562" s="898"/>
      <c r="L562" s="1012"/>
      <c r="M562" s="27"/>
      <c r="N562" s="27"/>
      <c r="O562" s="361"/>
      <c r="P562" s="362"/>
      <c r="Q562" s="27"/>
      <c r="R562" s="540"/>
      <c r="S562" s="9"/>
      <c r="T562" s="9"/>
      <c r="U562" s="9"/>
      <c r="V562" s="74"/>
      <c r="W562" s="9"/>
      <c r="X562" s="74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316"/>
      <c r="AQ562" s="8"/>
    </row>
    <row r="563" spans="1:43" ht="14.25" hidden="1" customHeight="1" x14ac:dyDescent="0.25">
      <c r="A563" s="11">
        <f t="shared" si="5"/>
        <v>19</v>
      </c>
      <c r="B563" s="963"/>
      <c r="C563" s="989" t="s">
        <v>307</v>
      </c>
      <c r="D563" s="936" t="s">
        <v>580</v>
      </c>
      <c r="E563" s="1068">
        <v>5</v>
      </c>
      <c r="F563" s="1039">
        <v>32720</v>
      </c>
      <c r="G563" s="359"/>
      <c r="H563" s="359"/>
      <c r="I563" s="360"/>
      <c r="J563" s="525"/>
      <c r="K563" s="898"/>
      <c r="L563" s="1012"/>
      <c r="M563" s="27"/>
      <c r="N563" s="27"/>
      <c r="O563" s="361"/>
      <c r="P563" s="362"/>
      <c r="Q563" s="27"/>
      <c r="R563" s="540"/>
      <c r="S563" s="9"/>
      <c r="T563" s="9"/>
      <c r="U563" s="9"/>
      <c r="V563" s="74"/>
      <c r="W563" s="9"/>
      <c r="X563" s="74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316"/>
      <c r="AQ563" s="8"/>
    </row>
    <row r="564" spans="1:43" ht="14.25" hidden="1" customHeight="1" x14ac:dyDescent="0.25">
      <c r="A564" s="11">
        <f t="shared" si="5"/>
        <v>20</v>
      </c>
      <c r="B564" s="963"/>
      <c r="C564" s="989" t="s">
        <v>308</v>
      </c>
      <c r="D564" s="936" t="s">
        <v>581</v>
      </c>
      <c r="E564" s="1068">
        <v>2.5539999999999998</v>
      </c>
      <c r="F564" s="1039">
        <v>12897</v>
      </c>
      <c r="G564" s="359"/>
      <c r="H564" s="359"/>
      <c r="I564" s="360"/>
      <c r="J564" s="525"/>
      <c r="K564" s="898"/>
      <c r="L564" s="1012"/>
      <c r="M564" s="27"/>
      <c r="N564" s="27"/>
      <c r="O564" s="361"/>
      <c r="P564" s="362"/>
      <c r="Q564" s="27"/>
      <c r="R564" s="540"/>
      <c r="S564" s="9"/>
      <c r="T564" s="9"/>
      <c r="U564" s="9"/>
      <c r="V564" s="74"/>
      <c r="W564" s="9"/>
      <c r="X564" s="74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316"/>
      <c r="AQ564" s="8"/>
    </row>
    <row r="565" spans="1:43" ht="14.25" hidden="1" customHeight="1" x14ac:dyDescent="0.25">
      <c r="A565" s="11">
        <f t="shared" si="5"/>
        <v>21</v>
      </c>
      <c r="B565" s="963"/>
      <c r="C565" s="989" t="s">
        <v>309</v>
      </c>
      <c r="D565" s="936" t="s">
        <v>582</v>
      </c>
      <c r="E565" s="1068">
        <v>8.6999999999999993</v>
      </c>
      <c r="F565" s="1039">
        <v>38902</v>
      </c>
      <c r="G565" s="359"/>
      <c r="H565" s="359"/>
      <c r="I565" s="360"/>
      <c r="J565" s="525"/>
      <c r="K565" s="898"/>
      <c r="L565" s="1012"/>
      <c r="M565" s="27"/>
      <c r="N565" s="27"/>
      <c r="O565" s="361"/>
      <c r="P565" s="362"/>
      <c r="Q565" s="27"/>
      <c r="R565" s="540"/>
      <c r="S565" s="9"/>
      <c r="T565" s="9"/>
      <c r="U565" s="9"/>
      <c r="V565" s="74"/>
      <c r="W565" s="9"/>
      <c r="X565" s="74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316"/>
      <c r="AQ565" s="8"/>
    </row>
    <row r="566" spans="1:43" ht="14.25" hidden="1" customHeight="1" x14ac:dyDescent="0.25">
      <c r="A566" s="11">
        <f t="shared" si="5"/>
        <v>22</v>
      </c>
      <c r="B566" s="963"/>
      <c r="C566" s="989" t="s">
        <v>310</v>
      </c>
      <c r="D566" s="936" t="s">
        <v>583</v>
      </c>
      <c r="E566" s="1068">
        <v>4.42</v>
      </c>
      <c r="F566" s="1039">
        <v>29862</v>
      </c>
      <c r="G566" s="359"/>
      <c r="H566" s="359"/>
      <c r="I566" s="360"/>
      <c r="J566" s="525"/>
      <c r="K566" s="898"/>
      <c r="L566" s="1012"/>
      <c r="M566" s="27"/>
      <c r="N566" s="27"/>
      <c r="O566" s="361"/>
      <c r="P566" s="362"/>
      <c r="Q566" s="27"/>
      <c r="R566" s="540"/>
      <c r="S566" s="9"/>
      <c r="T566" s="9"/>
      <c r="U566" s="9"/>
      <c r="V566" s="74"/>
      <c r="W566" s="9"/>
      <c r="X566" s="74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316"/>
      <c r="AQ566" s="8"/>
    </row>
    <row r="567" spans="1:43" ht="13.5" hidden="1" customHeight="1" x14ac:dyDescent="0.25">
      <c r="A567" s="11">
        <f t="shared" si="5"/>
        <v>23</v>
      </c>
      <c r="B567" s="963"/>
      <c r="C567" s="989" t="s">
        <v>311</v>
      </c>
      <c r="D567" s="936" t="s">
        <v>584</v>
      </c>
      <c r="E567" s="1068">
        <v>6.3159999999999998</v>
      </c>
      <c r="F567" s="1039">
        <v>29816</v>
      </c>
      <c r="G567" s="359"/>
      <c r="H567" s="359"/>
      <c r="I567" s="360"/>
      <c r="J567" s="525"/>
      <c r="K567" s="898"/>
      <c r="L567" s="1012"/>
      <c r="M567" s="27"/>
      <c r="N567" s="27"/>
      <c r="O567" s="361"/>
      <c r="P567" s="362"/>
      <c r="Q567" s="27"/>
      <c r="R567" s="540"/>
      <c r="S567" s="9"/>
      <c r="T567" s="9"/>
      <c r="U567" s="9"/>
      <c r="V567" s="74"/>
      <c r="W567" s="9"/>
      <c r="X567" s="74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316"/>
      <c r="AQ567" s="8"/>
    </row>
    <row r="568" spans="1:43" ht="13.5" hidden="1" customHeight="1" x14ac:dyDescent="0.25">
      <c r="A568" s="11">
        <f t="shared" si="5"/>
        <v>24</v>
      </c>
      <c r="B568" s="963"/>
      <c r="C568" s="989" t="s">
        <v>312</v>
      </c>
      <c r="D568" s="936" t="s">
        <v>585</v>
      </c>
      <c r="E568" s="1068">
        <v>10.4</v>
      </c>
      <c r="F568" s="1039">
        <v>65237</v>
      </c>
      <c r="G568" s="359"/>
      <c r="H568" s="359"/>
      <c r="I568" s="360"/>
      <c r="J568" s="525"/>
      <c r="K568" s="898"/>
      <c r="L568" s="1012"/>
      <c r="M568" s="27"/>
      <c r="N568" s="27"/>
      <c r="O568" s="361"/>
      <c r="P568" s="362"/>
      <c r="Q568" s="27"/>
      <c r="R568" s="540"/>
      <c r="S568" s="9"/>
      <c r="T568" s="9"/>
      <c r="U568" s="9"/>
      <c r="V568" s="74"/>
      <c r="W568" s="9"/>
      <c r="X568" s="74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316"/>
      <c r="AQ568" s="8"/>
    </row>
    <row r="569" spans="1:43" ht="28.9" hidden="1" customHeight="1" x14ac:dyDescent="0.25">
      <c r="A569" s="11">
        <f t="shared" si="5"/>
        <v>25</v>
      </c>
      <c r="B569" s="963"/>
      <c r="C569" s="989" t="s">
        <v>946</v>
      </c>
      <c r="D569" s="936" t="s">
        <v>586</v>
      </c>
      <c r="E569" s="1068">
        <v>6.2510000000000003</v>
      </c>
      <c r="F569" s="1039">
        <v>38017</v>
      </c>
      <c r="G569" s="359"/>
      <c r="H569" s="359"/>
      <c r="I569" s="360"/>
      <c r="J569" s="525"/>
      <c r="K569" s="898"/>
      <c r="L569" s="1012"/>
      <c r="M569" s="27"/>
      <c r="N569" s="27"/>
      <c r="O569" s="361"/>
      <c r="P569" s="362"/>
      <c r="Q569" s="27"/>
      <c r="R569" s="540"/>
      <c r="S569" s="9"/>
      <c r="T569" s="9"/>
      <c r="U569" s="9"/>
      <c r="V569" s="74"/>
      <c r="W569" s="9"/>
      <c r="X569" s="74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316"/>
      <c r="AQ569" s="8"/>
    </row>
    <row r="570" spans="1:43" ht="29.65" hidden="1" customHeight="1" x14ac:dyDescent="0.25">
      <c r="A570" s="11">
        <f t="shared" si="5"/>
        <v>26</v>
      </c>
      <c r="B570" s="963"/>
      <c r="C570" s="989" t="s">
        <v>313</v>
      </c>
      <c r="D570" s="936" t="s">
        <v>587</v>
      </c>
      <c r="E570" s="1068">
        <v>3.7189999999999999</v>
      </c>
      <c r="F570" s="1039">
        <v>23931</v>
      </c>
      <c r="G570" s="359"/>
      <c r="H570" s="359"/>
      <c r="I570" s="360"/>
      <c r="J570" s="525"/>
      <c r="K570" s="898"/>
      <c r="L570" s="1012"/>
      <c r="M570" s="27"/>
      <c r="N570" s="27"/>
      <c r="O570" s="361"/>
      <c r="P570" s="362"/>
      <c r="Q570" s="27"/>
      <c r="R570" s="540"/>
      <c r="S570" s="9"/>
      <c r="T570" s="9"/>
      <c r="U570" s="9"/>
      <c r="V570" s="74"/>
      <c r="W570" s="9"/>
      <c r="X570" s="74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316"/>
      <c r="AQ570" s="8"/>
    </row>
    <row r="571" spans="1:43" ht="14.85" hidden="1" customHeight="1" x14ac:dyDescent="0.25">
      <c r="A571" s="11">
        <f t="shared" si="5"/>
        <v>27</v>
      </c>
      <c r="B571" s="963"/>
      <c r="C571" s="989" t="s">
        <v>314</v>
      </c>
      <c r="D571" s="936" t="s">
        <v>588</v>
      </c>
      <c r="E571" s="1068">
        <v>6.26</v>
      </c>
      <c r="F571" s="1039">
        <v>39563</v>
      </c>
      <c r="G571" s="359"/>
      <c r="H571" s="359"/>
      <c r="I571" s="360"/>
      <c r="J571" s="525"/>
      <c r="K571" s="898"/>
      <c r="L571" s="1012"/>
      <c r="M571" s="27"/>
      <c r="N571" s="27"/>
      <c r="O571" s="361"/>
      <c r="P571" s="362"/>
      <c r="Q571" s="27"/>
      <c r="R571" s="540"/>
      <c r="S571" s="9"/>
      <c r="T571" s="9"/>
      <c r="U571" s="9"/>
      <c r="V571" s="74"/>
      <c r="W571" s="9"/>
      <c r="X571" s="74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316"/>
      <c r="AQ571" s="8"/>
    </row>
    <row r="572" spans="1:43" ht="31.15" hidden="1" customHeight="1" x14ac:dyDescent="0.25">
      <c r="A572" s="11">
        <f t="shared" si="5"/>
        <v>28</v>
      </c>
      <c r="B572" s="963"/>
      <c r="C572" s="989" t="s">
        <v>315</v>
      </c>
      <c r="D572" s="936" t="s">
        <v>589</v>
      </c>
      <c r="E572" s="1068">
        <v>12.05</v>
      </c>
      <c r="F572" s="1039">
        <v>74805</v>
      </c>
      <c r="G572" s="359"/>
      <c r="H572" s="359"/>
      <c r="I572" s="360"/>
      <c r="J572" s="525"/>
      <c r="K572" s="898"/>
      <c r="L572" s="1012"/>
      <c r="M572" s="27"/>
      <c r="N572" s="27"/>
      <c r="O572" s="361"/>
      <c r="P572" s="362"/>
      <c r="Q572" s="27"/>
      <c r="R572" s="540"/>
      <c r="S572" s="9"/>
      <c r="T572" s="9"/>
      <c r="U572" s="9"/>
      <c r="V572" s="74"/>
      <c r="W572" s="9"/>
      <c r="X572" s="74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316"/>
      <c r="AQ572" s="8"/>
    </row>
    <row r="573" spans="1:43" ht="18" hidden="1" customHeight="1" x14ac:dyDescent="0.25">
      <c r="A573" s="11">
        <f t="shared" si="5"/>
        <v>29</v>
      </c>
      <c r="B573" s="963"/>
      <c r="C573" s="989" t="s">
        <v>316</v>
      </c>
      <c r="D573" s="936" t="s">
        <v>590</v>
      </c>
      <c r="E573" s="1068">
        <v>5.3</v>
      </c>
      <c r="F573" s="1039">
        <v>29221</v>
      </c>
      <c r="G573" s="359"/>
      <c r="H573" s="359"/>
      <c r="I573" s="360"/>
      <c r="J573" s="525"/>
      <c r="K573" s="898"/>
      <c r="L573" s="1012"/>
      <c r="M573" s="27"/>
      <c r="N573" s="27"/>
      <c r="O573" s="361"/>
      <c r="P573" s="362"/>
      <c r="Q573" s="27"/>
      <c r="R573" s="540"/>
      <c r="S573" s="9"/>
      <c r="T573" s="9"/>
      <c r="U573" s="9"/>
      <c r="V573" s="74"/>
      <c r="W573" s="9"/>
      <c r="X573" s="74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316"/>
      <c r="AQ573" s="8"/>
    </row>
    <row r="574" spans="1:43" ht="18" hidden="1" customHeight="1" x14ac:dyDescent="0.25">
      <c r="A574" s="11"/>
      <c r="B574" s="963"/>
      <c r="C574" s="46" t="s">
        <v>881</v>
      </c>
      <c r="D574" s="936"/>
      <c r="E574" s="991"/>
      <c r="F574" s="1039"/>
      <c r="G574" s="359"/>
      <c r="H574" s="359"/>
      <c r="I574" s="360"/>
      <c r="J574" s="525"/>
      <c r="K574" s="898"/>
      <c r="L574" s="1012"/>
      <c r="M574" s="27"/>
      <c r="N574" s="27"/>
      <c r="O574" s="361"/>
      <c r="P574" s="362"/>
      <c r="Q574" s="27"/>
      <c r="R574" s="540"/>
      <c r="S574" s="9"/>
      <c r="T574" s="9"/>
      <c r="U574" s="9"/>
      <c r="V574" s="74"/>
      <c r="W574" s="9"/>
      <c r="X574" s="74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316"/>
      <c r="AQ574" s="8"/>
    </row>
    <row r="575" spans="1:43" ht="18" hidden="1" customHeight="1" x14ac:dyDescent="0.25">
      <c r="A575" s="11">
        <f>A573+1</f>
        <v>30</v>
      </c>
      <c r="B575" s="963"/>
      <c r="C575" s="989" t="s">
        <v>88</v>
      </c>
      <c r="D575" s="936" t="s">
        <v>591</v>
      </c>
      <c r="E575" s="1068">
        <v>1.03</v>
      </c>
      <c r="F575" s="1039">
        <v>7521</v>
      </c>
      <c r="G575" s="359"/>
      <c r="H575" s="359"/>
      <c r="I575" s="360"/>
      <c r="J575" s="525"/>
      <c r="K575" s="898"/>
      <c r="L575" s="1012"/>
      <c r="M575" s="27"/>
      <c r="N575" s="27"/>
      <c r="O575" s="361"/>
      <c r="P575" s="362"/>
      <c r="Q575" s="27"/>
      <c r="R575" s="540"/>
      <c r="S575" s="9"/>
      <c r="T575" s="9"/>
      <c r="U575" s="9"/>
      <c r="V575" s="74"/>
      <c r="W575" s="9"/>
      <c r="X575" s="74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316"/>
      <c r="AQ575" s="8"/>
    </row>
    <row r="576" spans="1:43" ht="18" hidden="1" customHeight="1" x14ac:dyDescent="0.25">
      <c r="A576" s="11">
        <f t="shared" si="5"/>
        <v>31</v>
      </c>
      <c r="B576" s="963"/>
      <c r="C576" s="989" t="s">
        <v>317</v>
      </c>
      <c r="D576" s="936" t="s">
        <v>592</v>
      </c>
      <c r="E576" s="1068">
        <v>6.55</v>
      </c>
      <c r="F576" s="1039">
        <v>41536</v>
      </c>
      <c r="G576" s="359"/>
      <c r="H576" s="359"/>
      <c r="I576" s="360"/>
      <c r="J576" s="525"/>
      <c r="K576" s="898"/>
      <c r="L576" s="1012"/>
      <c r="M576" s="27"/>
      <c r="N576" s="27"/>
      <c r="O576" s="361"/>
      <c r="P576" s="362"/>
      <c r="Q576" s="27"/>
      <c r="R576" s="540"/>
      <c r="S576" s="9"/>
      <c r="T576" s="9"/>
      <c r="U576" s="9"/>
      <c r="V576" s="74"/>
      <c r="W576" s="9"/>
      <c r="X576" s="74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316"/>
      <c r="AQ576" s="8"/>
    </row>
    <row r="577" spans="1:43" ht="43.7" hidden="1" customHeight="1" x14ac:dyDescent="0.25">
      <c r="A577" s="11">
        <f t="shared" si="5"/>
        <v>32</v>
      </c>
      <c r="B577" s="963"/>
      <c r="C577" s="989" t="s">
        <v>947</v>
      </c>
      <c r="D577" s="936" t="s">
        <v>593</v>
      </c>
      <c r="E577" s="1068">
        <v>22.954000000000001</v>
      </c>
      <c r="F577" s="1039">
        <v>133529</v>
      </c>
      <c r="G577" s="359"/>
      <c r="H577" s="359"/>
      <c r="I577" s="360"/>
      <c r="J577" s="525"/>
      <c r="K577" s="898"/>
      <c r="L577" s="1012"/>
      <c r="M577" s="27"/>
      <c r="N577" s="27"/>
      <c r="O577" s="361"/>
      <c r="P577" s="362"/>
      <c r="Q577" s="27"/>
      <c r="R577" s="540"/>
      <c r="S577" s="9"/>
      <c r="T577" s="9"/>
      <c r="U577" s="9"/>
      <c r="V577" s="74"/>
      <c r="W577" s="9"/>
      <c r="X577" s="74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316"/>
      <c r="AQ577" s="8"/>
    </row>
    <row r="578" spans="1:43" ht="17.649999999999999" hidden="1" customHeight="1" x14ac:dyDescent="0.25">
      <c r="A578" s="11">
        <f t="shared" si="5"/>
        <v>33</v>
      </c>
      <c r="B578" s="963"/>
      <c r="C578" s="989" t="s">
        <v>948</v>
      </c>
      <c r="D578" s="936" t="s">
        <v>594</v>
      </c>
      <c r="E578" s="1068">
        <v>5.5330000000000004</v>
      </c>
      <c r="F578" s="1039">
        <v>34051</v>
      </c>
      <c r="G578" s="359"/>
      <c r="H578" s="359"/>
      <c r="I578" s="360"/>
      <c r="J578" s="525"/>
      <c r="K578" s="898"/>
      <c r="L578" s="1012"/>
      <c r="M578" s="27"/>
      <c r="N578" s="27"/>
      <c r="O578" s="361"/>
      <c r="P578" s="362"/>
      <c r="Q578" s="27"/>
      <c r="R578" s="540"/>
      <c r="S578" s="9"/>
      <c r="T578" s="9"/>
      <c r="U578" s="9"/>
      <c r="V578" s="74"/>
      <c r="W578" s="9"/>
      <c r="X578" s="74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316"/>
      <c r="AQ578" s="8"/>
    </row>
    <row r="579" spans="1:43" ht="15.4" hidden="1" customHeight="1" x14ac:dyDescent="0.25">
      <c r="A579" s="11">
        <f t="shared" si="5"/>
        <v>34</v>
      </c>
      <c r="B579" s="963"/>
      <c r="C579" s="989" t="s">
        <v>318</v>
      </c>
      <c r="D579" s="936" t="s">
        <v>595</v>
      </c>
      <c r="E579" s="1068">
        <v>8.1999999999999993</v>
      </c>
      <c r="F579" s="1039">
        <v>50435</v>
      </c>
      <c r="G579" s="359"/>
      <c r="H579" s="359"/>
      <c r="I579" s="360"/>
      <c r="J579" s="525"/>
      <c r="K579" s="898"/>
      <c r="L579" s="1012"/>
      <c r="M579" s="27"/>
      <c r="N579" s="27"/>
      <c r="O579" s="361"/>
      <c r="P579" s="362"/>
      <c r="Q579" s="27"/>
      <c r="R579" s="540"/>
      <c r="S579" s="9"/>
      <c r="T579" s="9"/>
      <c r="U579" s="9"/>
      <c r="V579" s="74"/>
      <c r="W579" s="9"/>
      <c r="X579" s="74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316"/>
      <c r="AQ579" s="8"/>
    </row>
    <row r="580" spans="1:43" ht="15.4" hidden="1" customHeight="1" x14ac:dyDescent="0.25">
      <c r="A580" s="11">
        <f t="shared" si="5"/>
        <v>35</v>
      </c>
      <c r="B580" s="963"/>
      <c r="C580" s="989" t="s">
        <v>319</v>
      </c>
      <c r="D580" s="936" t="s">
        <v>596</v>
      </c>
      <c r="E580" s="1068">
        <v>23</v>
      </c>
      <c r="F580" s="1039">
        <v>133482</v>
      </c>
      <c r="G580" s="359"/>
      <c r="H580" s="359"/>
      <c r="I580" s="360"/>
      <c r="J580" s="525"/>
      <c r="K580" s="898"/>
      <c r="L580" s="1012"/>
      <c r="M580" s="27"/>
      <c r="N580" s="27"/>
      <c r="O580" s="361"/>
      <c r="P580" s="362"/>
      <c r="Q580" s="27"/>
      <c r="R580" s="540"/>
      <c r="S580" s="9"/>
      <c r="T580" s="9"/>
      <c r="U580" s="9"/>
      <c r="V580" s="74"/>
      <c r="W580" s="9"/>
      <c r="X580" s="74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316"/>
      <c r="AQ580" s="8"/>
    </row>
    <row r="581" spans="1:43" ht="29.65" hidden="1" customHeight="1" x14ac:dyDescent="0.25">
      <c r="A581" s="11">
        <f t="shared" si="5"/>
        <v>36</v>
      </c>
      <c r="B581" s="963"/>
      <c r="C581" s="989" t="s">
        <v>949</v>
      </c>
      <c r="D581" s="936" t="s">
        <v>597</v>
      </c>
      <c r="E581" s="1068">
        <v>10.055999999999999</v>
      </c>
      <c r="F581" s="1039">
        <v>76928</v>
      </c>
      <c r="G581" s="359"/>
      <c r="H581" s="359"/>
      <c r="I581" s="360"/>
      <c r="J581" s="525"/>
      <c r="K581" s="898"/>
      <c r="L581" s="1012"/>
      <c r="M581" s="27"/>
      <c r="N581" s="27"/>
      <c r="O581" s="361"/>
      <c r="P581" s="362"/>
      <c r="Q581" s="27"/>
      <c r="R581" s="540"/>
      <c r="S581" s="9"/>
      <c r="T581" s="9"/>
      <c r="U581" s="9"/>
      <c r="V581" s="74"/>
      <c r="W581" s="9"/>
      <c r="X581" s="74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316"/>
      <c r="AQ581" s="8"/>
    </row>
    <row r="582" spans="1:43" ht="16.7" hidden="1" customHeight="1" x14ac:dyDescent="0.25">
      <c r="A582" s="11">
        <f t="shared" si="5"/>
        <v>37</v>
      </c>
      <c r="B582" s="963"/>
      <c r="C582" s="989" t="s">
        <v>320</v>
      </c>
      <c r="D582" s="936" t="s">
        <v>598</v>
      </c>
      <c r="E582" s="1068">
        <v>5.617</v>
      </c>
      <c r="F582" s="1039">
        <v>34020</v>
      </c>
      <c r="G582" s="359"/>
      <c r="H582" s="359"/>
      <c r="I582" s="360"/>
      <c r="J582" s="525"/>
      <c r="K582" s="898"/>
      <c r="L582" s="1012"/>
      <c r="M582" s="27"/>
      <c r="N582" s="27"/>
      <c r="O582" s="361"/>
      <c r="P582" s="362"/>
      <c r="Q582" s="27"/>
      <c r="R582" s="540"/>
      <c r="S582" s="9"/>
      <c r="T582" s="9"/>
      <c r="U582" s="9"/>
      <c r="V582" s="74"/>
      <c r="W582" s="9"/>
      <c r="X582" s="74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316"/>
      <c r="AQ582" s="8"/>
    </row>
    <row r="583" spans="1:43" ht="29.65" hidden="1" customHeight="1" x14ac:dyDescent="0.25">
      <c r="A583" s="11">
        <f t="shared" si="5"/>
        <v>38</v>
      </c>
      <c r="B583" s="963"/>
      <c r="C583" s="989" t="s">
        <v>950</v>
      </c>
      <c r="D583" s="936" t="s">
        <v>599</v>
      </c>
      <c r="E583" s="1068">
        <v>5.67</v>
      </c>
      <c r="F583" s="1039">
        <v>32400</v>
      </c>
      <c r="G583" s="359"/>
      <c r="H583" s="359"/>
      <c r="I583" s="360"/>
      <c r="J583" s="525"/>
      <c r="K583" s="898"/>
      <c r="L583" s="1012"/>
      <c r="M583" s="27"/>
      <c r="N583" s="27"/>
      <c r="O583" s="361"/>
      <c r="P583" s="362"/>
      <c r="Q583" s="27"/>
      <c r="R583" s="540"/>
      <c r="S583" s="9"/>
      <c r="T583" s="9"/>
      <c r="U583" s="9"/>
      <c r="V583" s="74"/>
      <c r="W583" s="9"/>
      <c r="X583" s="74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316"/>
      <c r="AQ583" s="8"/>
    </row>
    <row r="584" spans="1:43" ht="16.7" hidden="1" customHeight="1" x14ac:dyDescent="0.25">
      <c r="A584" s="11">
        <f t="shared" si="5"/>
        <v>39</v>
      </c>
      <c r="B584" s="963"/>
      <c r="C584" s="989" t="s">
        <v>321</v>
      </c>
      <c r="D584" s="936" t="s">
        <v>600</v>
      </c>
      <c r="E584" s="1068">
        <v>9.1999999999999993</v>
      </c>
      <c r="F584" s="1039">
        <v>56121</v>
      </c>
      <c r="G584" s="359"/>
      <c r="H584" s="359"/>
      <c r="I584" s="360"/>
      <c r="J584" s="525"/>
      <c r="K584" s="898"/>
      <c r="L584" s="1012"/>
      <c r="M584" s="27"/>
      <c r="N584" s="27"/>
      <c r="O584" s="361"/>
      <c r="P584" s="362"/>
      <c r="Q584" s="27"/>
      <c r="R584" s="540"/>
      <c r="S584" s="9"/>
      <c r="T584" s="9"/>
      <c r="U584" s="9"/>
      <c r="V584" s="74"/>
      <c r="W584" s="9"/>
      <c r="X584" s="74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316"/>
      <c r="AQ584" s="8"/>
    </row>
    <row r="585" spans="1:43" ht="16.7" hidden="1" customHeight="1" x14ac:dyDescent="0.25">
      <c r="A585" s="11">
        <f t="shared" si="5"/>
        <v>40</v>
      </c>
      <c r="B585" s="963"/>
      <c r="C585" s="989" t="s">
        <v>322</v>
      </c>
      <c r="D585" s="936" t="s">
        <v>601</v>
      </c>
      <c r="E585" s="1068">
        <v>7.8</v>
      </c>
      <c r="F585" s="1039">
        <v>36427</v>
      </c>
      <c r="G585" s="359"/>
      <c r="H585" s="359"/>
      <c r="I585" s="360"/>
      <c r="J585" s="525"/>
      <c r="K585" s="898"/>
      <c r="L585" s="1012"/>
      <c r="M585" s="27"/>
      <c r="N585" s="27"/>
      <c r="O585" s="361"/>
      <c r="P585" s="362"/>
      <c r="Q585" s="27"/>
      <c r="R585" s="540"/>
      <c r="S585" s="9"/>
      <c r="T585" s="9"/>
      <c r="U585" s="9"/>
      <c r="V585" s="74"/>
      <c r="W585" s="9"/>
      <c r="X585" s="74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316"/>
      <c r="AQ585" s="8"/>
    </row>
    <row r="586" spans="1:43" ht="44.65" hidden="1" customHeight="1" x14ac:dyDescent="0.25">
      <c r="A586" s="11">
        <f t="shared" si="5"/>
        <v>41</v>
      </c>
      <c r="B586" s="963"/>
      <c r="C586" s="989" t="s">
        <v>323</v>
      </c>
      <c r="D586" s="936" t="s">
        <v>602</v>
      </c>
      <c r="E586" s="1068">
        <v>0.245</v>
      </c>
      <c r="F586" s="1039">
        <v>1980</v>
      </c>
      <c r="G586" s="359"/>
      <c r="H586" s="359"/>
      <c r="I586" s="360"/>
      <c r="J586" s="525"/>
      <c r="K586" s="898"/>
      <c r="L586" s="1012"/>
      <c r="M586" s="27"/>
      <c r="N586" s="27"/>
      <c r="O586" s="361"/>
      <c r="P586" s="362"/>
      <c r="Q586" s="27"/>
      <c r="R586" s="540"/>
      <c r="S586" s="9"/>
      <c r="T586" s="9"/>
      <c r="U586" s="9"/>
      <c r="V586" s="74"/>
      <c r="W586" s="9"/>
      <c r="X586" s="74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316"/>
      <c r="AQ586" s="8"/>
    </row>
    <row r="587" spans="1:43" ht="18.600000000000001" hidden="1" customHeight="1" x14ac:dyDescent="0.25">
      <c r="A587" s="11"/>
      <c r="B587" s="963"/>
      <c r="C587" s="46" t="s">
        <v>882</v>
      </c>
      <c r="D587" s="936"/>
      <c r="E587" s="1068"/>
      <c r="F587" s="1039"/>
      <c r="G587" s="359"/>
      <c r="H587" s="359"/>
      <c r="I587" s="360"/>
      <c r="J587" s="525"/>
      <c r="K587" s="898"/>
      <c r="L587" s="1012"/>
      <c r="M587" s="27"/>
      <c r="N587" s="27"/>
      <c r="O587" s="361"/>
      <c r="P587" s="362"/>
      <c r="Q587" s="27"/>
      <c r="R587" s="540"/>
      <c r="S587" s="9"/>
      <c r="T587" s="9"/>
      <c r="U587" s="9"/>
      <c r="V587" s="74"/>
      <c r="W587" s="9"/>
      <c r="X587" s="74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316"/>
      <c r="AQ587" s="8"/>
    </row>
    <row r="588" spans="1:43" ht="44.65" hidden="1" customHeight="1" x14ac:dyDescent="0.25">
      <c r="A588" s="11">
        <f>A586+1</f>
        <v>42</v>
      </c>
      <c r="B588" s="963"/>
      <c r="C588" s="989" t="s">
        <v>951</v>
      </c>
      <c r="D588" s="936" t="s">
        <v>603</v>
      </c>
      <c r="E588" s="1040">
        <v>25.492000000000001</v>
      </c>
      <c r="F588" s="1036">
        <v>223204</v>
      </c>
      <c r="G588" s="359"/>
      <c r="H588" s="359"/>
      <c r="I588" s="360"/>
      <c r="J588" s="525"/>
      <c r="K588" s="898"/>
      <c r="L588" s="1012"/>
      <c r="M588" s="27"/>
      <c r="N588" s="27"/>
      <c r="O588" s="361"/>
      <c r="P588" s="362"/>
      <c r="Q588" s="27"/>
      <c r="R588" s="540"/>
      <c r="S588" s="9"/>
      <c r="T588" s="9"/>
      <c r="U588" s="9"/>
      <c r="V588" s="74"/>
      <c r="W588" s="9"/>
      <c r="X588" s="74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316"/>
      <c r="AQ588" s="8"/>
    </row>
    <row r="589" spans="1:43" ht="34.15" hidden="1" customHeight="1" x14ac:dyDescent="0.25">
      <c r="A589" s="11">
        <f t="shared" si="5"/>
        <v>43</v>
      </c>
      <c r="B589" s="963"/>
      <c r="C589" s="989" t="s">
        <v>324</v>
      </c>
      <c r="D589" s="936" t="s">
        <v>604</v>
      </c>
      <c r="E589" s="1068">
        <v>2.444</v>
      </c>
      <c r="F589" s="1039">
        <v>15687</v>
      </c>
      <c r="G589" s="359"/>
      <c r="H589" s="359"/>
      <c r="I589" s="360"/>
      <c r="J589" s="525"/>
      <c r="K589" s="898"/>
      <c r="L589" s="1012"/>
      <c r="M589" s="27"/>
      <c r="N589" s="27"/>
      <c r="O589" s="361"/>
      <c r="P589" s="362"/>
      <c r="Q589" s="27"/>
      <c r="R589" s="540"/>
      <c r="S589" s="9"/>
      <c r="T589" s="9"/>
      <c r="U589" s="9"/>
      <c r="V589" s="74"/>
      <c r="W589" s="9"/>
      <c r="X589" s="74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316"/>
      <c r="AQ589" s="8"/>
    </row>
    <row r="590" spans="1:43" ht="34.15" hidden="1" customHeight="1" x14ac:dyDescent="0.25">
      <c r="A590" s="11">
        <f t="shared" si="5"/>
        <v>44</v>
      </c>
      <c r="B590" s="963"/>
      <c r="C590" s="989" t="s">
        <v>952</v>
      </c>
      <c r="D590" s="936" t="s">
        <v>605</v>
      </c>
      <c r="E590" s="1068">
        <v>3.3029999999999999</v>
      </c>
      <c r="F590" s="1039">
        <v>35102</v>
      </c>
      <c r="G590" s="359"/>
      <c r="H590" s="359"/>
      <c r="I590" s="360"/>
      <c r="J590" s="525"/>
      <c r="K590" s="898"/>
      <c r="L590" s="1012"/>
      <c r="M590" s="27"/>
      <c r="N590" s="27"/>
      <c r="O590" s="361"/>
      <c r="P590" s="362"/>
      <c r="Q590" s="27"/>
      <c r="R590" s="540"/>
      <c r="S590" s="9"/>
      <c r="T590" s="9"/>
      <c r="U590" s="9"/>
      <c r="V590" s="74"/>
      <c r="W590" s="9"/>
      <c r="X590" s="74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316"/>
      <c r="AQ590" s="8"/>
    </row>
    <row r="591" spans="1:43" ht="17.649999999999999" hidden="1" customHeight="1" x14ac:dyDescent="0.25">
      <c r="A591" s="11">
        <f t="shared" si="5"/>
        <v>45</v>
      </c>
      <c r="B591" s="963"/>
      <c r="C591" s="989" t="s">
        <v>325</v>
      </c>
      <c r="D591" s="936" t="s">
        <v>606</v>
      </c>
      <c r="E591" s="1068">
        <v>24.393000000000001</v>
      </c>
      <c r="F591" s="1039">
        <v>154270</v>
      </c>
      <c r="G591" s="359"/>
      <c r="H591" s="359"/>
      <c r="I591" s="360"/>
      <c r="J591" s="525"/>
      <c r="K591" s="898"/>
      <c r="L591" s="1012"/>
      <c r="M591" s="27"/>
      <c r="N591" s="27"/>
      <c r="O591" s="361"/>
      <c r="P591" s="362"/>
      <c r="Q591" s="27"/>
      <c r="R591" s="540"/>
      <c r="S591" s="9"/>
      <c r="T591" s="9"/>
      <c r="U591" s="9"/>
      <c r="V591" s="74"/>
      <c r="W591" s="9"/>
      <c r="X591" s="74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316"/>
      <c r="AQ591" s="8"/>
    </row>
    <row r="592" spans="1:43" ht="17.649999999999999" hidden="1" customHeight="1" x14ac:dyDescent="0.25">
      <c r="A592" s="11">
        <f t="shared" si="5"/>
        <v>46</v>
      </c>
      <c r="B592" s="963"/>
      <c r="C592" s="989" t="s">
        <v>243</v>
      </c>
      <c r="D592" s="936" t="s">
        <v>607</v>
      </c>
      <c r="E592" s="1068">
        <v>1.5</v>
      </c>
      <c r="F592" s="1039">
        <v>10652</v>
      </c>
      <c r="G592" s="359"/>
      <c r="H592" s="359"/>
      <c r="I592" s="360"/>
      <c r="J592" s="525"/>
      <c r="K592" s="898"/>
      <c r="L592" s="1012"/>
      <c r="M592" s="27"/>
      <c r="N592" s="27"/>
      <c r="O592" s="361"/>
      <c r="P592" s="362"/>
      <c r="Q592" s="27"/>
      <c r="R592" s="540"/>
      <c r="S592" s="9"/>
      <c r="T592" s="9"/>
      <c r="U592" s="9"/>
      <c r="V592" s="74"/>
      <c r="W592" s="9"/>
      <c r="X592" s="74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316"/>
      <c r="AQ592" s="8"/>
    </row>
    <row r="593" spans="1:43" ht="28.9" hidden="1" customHeight="1" x14ac:dyDescent="0.25">
      <c r="A593" s="11">
        <f t="shared" si="5"/>
        <v>47</v>
      </c>
      <c r="B593" s="963"/>
      <c r="C593" s="989" t="s">
        <v>326</v>
      </c>
      <c r="D593" s="936" t="s">
        <v>608</v>
      </c>
      <c r="E593" s="1068">
        <v>25.1</v>
      </c>
      <c r="F593" s="1039">
        <v>244267</v>
      </c>
      <c r="G593" s="359"/>
      <c r="H593" s="359"/>
      <c r="I593" s="360"/>
      <c r="J593" s="525"/>
      <c r="K593" s="898"/>
      <c r="L593" s="1012"/>
      <c r="M593" s="27"/>
      <c r="N593" s="27"/>
      <c r="O593" s="361"/>
      <c r="P593" s="362"/>
      <c r="Q593" s="27"/>
      <c r="R593" s="540"/>
      <c r="S593" s="9"/>
      <c r="T593" s="9"/>
      <c r="U593" s="9"/>
      <c r="V593" s="74"/>
      <c r="W593" s="9"/>
      <c r="X593" s="74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316"/>
      <c r="AQ593" s="8"/>
    </row>
    <row r="594" spans="1:43" ht="14.85" hidden="1" customHeight="1" x14ac:dyDescent="0.25">
      <c r="A594" s="11">
        <f t="shared" si="5"/>
        <v>48</v>
      </c>
      <c r="B594" s="963"/>
      <c r="C594" s="989" t="s">
        <v>327</v>
      </c>
      <c r="D594" s="936" t="s">
        <v>609</v>
      </c>
      <c r="E594" s="1068">
        <v>3.6669999999999998</v>
      </c>
      <c r="F594" s="1039">
        <v>20143</v>
      </c>
      <c r="G594" s="359"/>
      <c r="H594" s="359"/>
      <c r="I594" s="360"/>
      <c r="J594" s="525"/>
      <c r="K594" s="898"/>
      <c r="L594" s="1012"/>
      <c r="M594" s="27"/>
      <c r="N594" s="27"/>
      <c r="O594" s="361"/>
      <c r="P594" s="362"/>
      <c r="Q594" s="27"/>
      <c r="R594" s="540"/>
      <c r="S594" s="9"/>
      <c r="T594" s="9"/>
      <c r="U594" s="9"/>
      <c r="V594" s="74"/>
      <c r="W594" s="9"/>
      <c r="X594" s="74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316"/>
      <c r="AQ594" s="8"/>
    </row>
    <row r="595" spans="1:43" ht="31.15" hidden="1" customHeight="1" x14ac:dyDescent="0.25">
      <c r="A595" s="11" t="e">
        <f>#REF!+1</f>
        <v>#REF!</v>
      </c>
      <c r="B595" s="963"/>
      <c r="C595" s="989" t="s">
        <v>329</v>
      </c>
      <c r="D595" s="936" t="s">
        <v>611</v>
      </c>
      <c r="E595" s="1068">
        <v>6.2759999999999998</v>
      </c>
      <c r="F595" s="1039">
        <v>49622</v>
      </c>
      <c r="G595" s="359"/>
      <c r="H595" s="359"/>
      <c r="I595" s="360"/>
      <c r="J595" s="525"/>
      <c r="K595" s="898"/>
      <c r="L595" s="1012"/>
      <c r="M595" s="27"/>
      <c r="N595" s="27"/>
      <c r="O595" s="361"/>
      <c r="P595" s="362"/>
      <c r="Q595" s="27"/>
      <c r="R595" s="540"/>
      <c r="S595" s="9"/>
      <c r="T595" s="9"/>
      <c r="U595" s="9"/>
      <c r="V595" s="74"/>
      <c r="W595" s="9"/>
      <c r="X595" s="74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316"/>
      <c r="AQ595" s="8"/>
    </row>
    <row r="596" spans="1:43" ht="32.85" hidden="1" customHeight="1" x14ac:dyDescent="0.25">
      <c r="A596" s="11" t="e">
        <f t="shared" si="5"/>
        <v>#REF!</v>
      </c>
      <c r="B596" s="963"/>
      <c r="C596" s="989" t="s">
        <v>953</v>
      </c>
      <c r="D596" s="936" t="s">
        <v>612</v>
      </c>
      <c r="E596" s="1068">
        <v>4.4029999999999996</v>
      </c>
      <c r="F596" s="1039">
        <v>39309</v>
      </c>
      <c r="G596" s="359"/>
      <c r="H596" s="359"/>
      <c r="I596" s="360"/>
      <c r="J596" s="525"/>
      <c r="K596" s="898"/>
      <c r="L596" s="1012"/>
      <c r="M596" s="27"/>
      <c r="N596" s="27"/>
      <c r="O596" s="361"/>
      <c r="P596" s="362"/>
      <c r="Q596" s="27"/>
      <c r="R596" s="540"/>
      <c r="S596" s="9"/>
      <c r="T596" s="9"/>
      <c r="U596" s="9"/>
      <c r="V596" s="74"/>
      <c r="W596" s="9"/>
      <c r="X596" s="74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316"/>
      <c r="AQ596" s="8"/>
    </row>
    <row r="597" spans="1:43" ht="19.899999999999999" hidden="1" customHeight="1" x14ac:dyDescent="0.25">
      <c r="A597" s="11">
        <v>17</v>
      </c>
      <c r="B597" s="963">
        <v>1959964</v>
      </c>
      <c r="C597" s="989" t="s">
        <v>330</v>
      </c>
      <c r="D597" s="936" t="s">
        <v>613</v>
      </c>
      <c r="E597" s="1068">
        <v>1.427</v>
      </c>
      <c r="F597" s="1039">
        <v>6448</v>
      </c>
      <c r="G597" s="359"/>
      <c r="H597" s="359"/>
      <c r="I597" s="360"/>
      <c r="J597" s="525"/>
      <c r="K597" s="898"/>
      <c r="L597" s="1012"/>
      <c r="M597" s="27"/>
      <c r="N597" s="27"/>
      <c r="O597" s="361"/>
      <c r="P597" s="362"/>
      <c r="Q597" s="27"/>
      <c r="R597" s="540"/>
      <c r="S597" s="64"/>
      <c r="T597" s="64"/>
      <c r="U597" s="64"/>
      <c r="V597" s="145"/>
      <c r="W597" s="318"/>
      <c r="X597" s="96"/>
      <c r="Y597" s="64"/>
      <c r="Z597" s="64"/>
      <c r="AA597" s="64"/>
      <c r="AB597" s="374"/>
      <c r="AC597" s="318"/>
      <c r="AD597" s="142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316"/>
      <c r="AQ597" s="8"/>
    </row>
    <row r="598" spans="1:43" ht="19.899999999999999" hidden="1" customHeight="1" x14ac:dyDescent="0.25">
      <c r="A598" s="11"/>
      <c r="B598" s="963"/>
      <c r="C598" s="989"/>
      <c r="D598" s="936"/>
      <c r="E598" s="1068"/>
      <c r="F598" s="1039"/>
      <c r="G598" s="359"/>
      <c r="H598" s="359"/>
      <c r="I598" s="360"/>
      <c r="J598" s="525"/>
      <c r="K598" s="898"/>
      <c r="L598" s="1012"/>
      <c r="M598" s="27"/>
      <c r="N598" s="27"/>
      <c r="O598" s="361"/>
      <c r="P598" s="362"/>
      <c r="Q598" s="27"/>
      <c r="R598" s="540"/>
      <c r="S598" s="64"/>
      <c r="T598" s="64"/>
      <c r="U598" s="64"/>
      <c r="V598" s="145"/>
      <c r="W598" s="318"/>
      <c r="X598" s="96"/>
      <c r="Y598" s="64"/>
      <c r="Z598" s="64"/>
      <c r="AA598" s="64"/>
      <c r="AB598" s="375"/>
      <c r="AC598" s="318"/>
      <c r="AD598" s="142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316"/>
      <c r="AQ598" s="8"/>
    </row>
    <row r="599" spans="1:43" ht="32.85" hidden="1" customHeight="1" x14ac:dyDescent="0.25">
      <c r="A599" s="11">
        <f>A597+1</f>
        <v>18</v>
      </c>
      <c r="B599" s="963"/>
      <c r="C599" s="989" t="s">
        <v>954</v>
      </c>
      <c r="D599" s="936" t="s">
        <v>614</v>
      </c>
      <c r="E599" s="1068">
        <v>4.5380000000000003</v>
      </c>
      <c r="F599" s="1039">
        <v>35203</v>
      </c>
      <c r="G599" s="359"/>
      <c r="H599" s="359"/>
      <c r="I599" s="360"/>
      <c r="J599" s="525"/>
      <c r="K599" s="898"/>
      <c r="L599" s="1012"/>
      <c r="M599" s="27"/>
      <c r="N599" s="27"/>
      <c r="O599" s="361"/>
      <c r="P599" s="362"/>
      <c r="Q599" s="27"/>
      <c r="R599" s="540"/>
      <c r="S599" s="9"/>
      <c r="T599" s="9"/>
      <c r="U599" s="9"/>
      <c r="V599" s="74"/>
      <c r="W599" s="9"/>
      <c r="X599" s="74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316"/>
      <c r="AQ599" s="8"/>
    </row>
    <row r="600" spans="1:43" ht="28.9" hidden="1" customHeight="1" x14ac:dyDescent="0.25">
      <c r="A600" s="11">
        <f t="shared" si="5"/>
        <v>19</v>
      </c>
      <c r="B600" s="963"/>
      <c r="C600" s="989" t="s">
        <v>331</v>
      </c>
      <c r="D600" s="936" t="s">
        <v>615</v>
      </c>
      <c r="E600" s="1068">
        <v>3.7639999999999998</v>
      </c>
      <c r="F600" s="1039">
        <v>17186</v>
      </c>
      <c r="G600" s="359"/>
      <c r="H600" s="359"/>
      <c r="I600" s="360"/>
      <c r="J600" s="525"/>
      <c r="K600" s="898"/>
      <c r="L600" s="1012"/>
      <c r="M600" s="27"/>
      <c r="N600" s="27"/>
      <c r="O600" s="361"/>
      <c r="P600" s="362"/>
      <c r="Q600" s="27"/>
      <c r="R600" s="540"/>
      <c r="S600" s="9"/>
      <c r="T600" s="9"/>
      <c r="U600" s="9"/>
      <c r="V600" s="74"/>
      <c r="W600" s="9"/>
      <c r="X600" s="74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316"/>
      <c r="AQ600" s="8"/>
    </row>
    <row r="601" spans="1:43" ht="15.75" hidden="1" customHeight="1" x14ac:dyDescent="0.25">
      <c r="A601" s="11">
        <f t="shared" si="5"/>
        <v>20</v>
      </c>
      <c r="B601" s="963"/>
      <c r="C601" s="989" t="s">
        <v>955</v>
      </c>
      <c r="D601" s="936" t="s">
        <v>616</v>
      </c>
      <c r="E601" s="1068">
        <v>1.72</v>
      </c>
      <c r="F601" s="1039">
        <v>10257</v>
      </c>
      <c r="G601" s="359"/>
      <c r="H601" s="359"/>
      <c r="I601" s="360"/>
      <c r="J601" s="525"/>
      <c r="K601" s="898"/>
      <c r="L601" s="1012"/>
      <c r="M601" s="27"/>
      <c r="N601" s="27"/>
      <c r="O601" s="361"/>
      <c r="P601" s="362"/>
      <c r="Q601" s="27"/>
      <c r="R601" s="540"/>
      <c r="S601" s="9"/>
      <c r="T601" s="9"/>
      <c r="U601" s="9"/>
      <c r="V601" s="74"/>
      <c r="W601" s="9"/>
      <c r="X601" s="74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316"/>
      <c r="AQ601" s="8"/>
    </row>
    <row r="602" spans="1:43" ht="15.4" hidden="1" customHeight="1" thickBot="1" x14ac:dyDescent="0.3">
      <c r="A602" s="156">
        <f t="shared" si="5"/>
        <v>21</v>
      </c>
      <c r="B602" s="892"/>
      <c r="C602" s="1004" t="s">
        <v>332</v>
      </c>
      <c r="D602" s="998" t="s">
        <v>617</v>
      </c>
      <c r="E602" s="1040">
        <v>4.4359999999999999</v>
      </c>
      <c r="F602" s="1036">
        <v>23286</v>
      </c>
      <c r="G602" s="367"/>
      <c r="H602" s="367"/>
      <c r="I602" s="368"/>
      <c r="J602" s="160"/>
      <c r="K602" s="885"/>
      <c r="L602" s="897"/>
      <c r="M602" s="1127"/>
      <c r="N602" s="1127"/>
      <c r="O602" s="370"/>
      <c r="P602" s="371"/>
      <c r="Q602" s="1127"/>
      <c r="R602" s="660"/>
      <c r="S602" s="9"/>
      <c r="T602" s="9"/>
      <c r="U602" s="9"/>
      <c r="V602" s="74"/>
      <c r="W602" s="9"/>
      <c r="X602" s="74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316"/>
      <c r="AQ602" s="8"/>
    </row>
    <row r="603" spans="1:43" ht="23.25" customHeight="1" x14ac:dyDescent="0.25">
      <c r="A603" s="1235">
        <v>17</v>
      </c>
      <c r="B603" s="1289">
        <v>1960237</v>
      </c>
      <c r="C603" s="1193" t="s">
        <v>333</v>
      </c>
      <c r="D603" s="1273" t="s">
        <v>618</v>
      </c>
      <c r="E603" s="1474">
        <v>5.29</v>
      </c>
      <c r="F603" s="1429">
        <v>36910</v>
      </c>
      <c r="G603" s="1386"/>
      <c r="H603" s="1386"/>
      <c r="I603" s="1190"/>
      <c r="J603" s="1056"/>
      <c r="K603" s="182"/>
      <c r="L603" s="1178"/>
      <c r="M603" s="1386" t="s">
        <v>1031</v>
      </c>
      <c r="N603" s="1386" t="s">
        <v>1151</v>
      </c>
      <c r="O603" s="1190" t="s">
        <v>7</v>
      </c>
      <c r="P603" s="167">
        <v>4.97</v>
      </c>
      <c r="Q603" s="182" t="s">
        <v>2</v>
      </c>
      <c r="R603" s="1282">
        <v>52126.005740000001</v>
      </c>
      <c r="S603" s="178"/>
      <c r="T603" s="9"/>
      <c r="U603" s="9"/>
      <c r="V603" s="74"/>
      <c r="W603" s="9"/>
      <c r="X603" s="74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316"/>
      <c r="AQ603" s="8"/>
    </row>
    <row r="604" spans="1:43" ht="20.65" customHeight="1" thickBot="1" x14ac:dyDescent="0.3">
      <c r="A604" s="1224"/>
      <c r="B604" s="1234"/>
      <c r="C604" s="1194"/>
      <c r="D604" s="1274"/>
      <c r="E604" s="1475"/>
      <c r="F604" s="1430"/>
      <c r="G604" s="1387"/>
      <c r="H604" s="1387"/>
      <c r="I604" s="1161"/>
      <c r="J604" s="163"/>
      <c r="K604" s="173"/>
      <c r="L604" s="1179"/>
      <c r="M604" s="1387"/>
      <c r="N604" s="1387"/>
      <c r="O604" s="1161"/>
      <c r="P604" s="174">
        <v>29952</v>
      </c>
      <c r="Q604" s="173" t="s">
        <v>3</v>
      </c>
      <c r="R604" s="1283"/>
      <c r="S604" s="178"/>
      <c r="T604" s="9"/>
      <c r="U604" s="9"/>
      <c r="V604" s="74"/>
      <c r="W604" s="9"/>
      <c r="X604" s="74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316"/>
      <c r="AQ604" s="8"/>
    </row>
    <row r="605" spans="1:43" ht="15.4" hidden="1" customHeight="1" x14ac:dyDescent="0.25">
      <c r="A605" s="61">
        <f>A603+1</f>
        <v>18</v>
      </c>
      <c r="B605" s="893"/>
      <c r="C605" s="996" t="s">
        <v>334</v>
      </c>
      <c r="D605" s="936" t="s">
        <v>619</v>
      </c>
      <c r="E605" s="991">
        <v>2.411</v>
      </c>
      <c r="F605" s="1037">
        <v>11750</v>
      </c>
      <c r="G605" s="369"/>
      <c r="H605" s="369"/>
      <c r="I605" s="360"/>
      <c r="J605" s="154"/>
      <c r="K605" s="898"/>
      <c r="L605" s="896"/>
      <c r="M605" s="1128"/>
      <c r="N605" s="1128"/>
      <c r="O605" s="372"/>
      <c r="P605" s="373"/>
      <c r="Q605" s="1128"/>
      <c r="R605" s="661"/>
      <c r="S605" s="9"/>
      <c r="T605" s="9"/>
      <c r="U605" s="9"/>
      <c r="V605" s="74"/>
      <c r="W605" s="9"/>
      <c r="X605" s="74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316"/>
      <c r="AQ605" s="8"/>
    </row>
    <row r="606" spans="1:43" ht="15.4" hidden="1" customHeight="1" x14ac:dyDescent="0.25">
      <c r="A606" s="11">
        <f t="shared" ref="A606:A679" si="6">A605+1</f>
        <v>19</v>
      </c>
      <c r="B606" s="963"/>
      <c r="C606" s="989" t="s">
        <v>335</v>
      </c>
      <c r="D606" s="936" t="s">
        <v>620</v>
      </c>
      <c r="E606" s="1068">
        <v>1.4770000000000001</v>
      </c>
      <c r="F606" s="1039">
        <v>12064</v>
      </c>
      <c r="G606" s="359"/>
      <c r="H606" s="359"/>
      <c r="I606" s="360"/>
      <c r="J606" s="525"/>
      <c r="K606" s="898"/>
      <c r="L606" s="1012"/>
      <c r="M606" s="27"/>
      <c r="N606" s="27"/>
      <c r="O606" s="361"/>
      <c r="P606" s="362"/>
      <c r="Q606" s="27"/>
      <c r="R606" s="540"/>
      <c r="S606" s="9"/>
      <c r="T606" s="9"/>
      <c r="U606" s="9"/>
      <c r="V606" s="74"/>
      <c r="W606" s="9"/>
      <c r="X606" s="74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316"/>
      <c r="AQ606" s="8"/>
    </row>
    <row r="607" spans="1:43" ht="15.4" hidden="1" customHeight="1" x14ac:dyDescent="0.25">
      <c r="A607" s="11">
        <f t="shared" si="6"/>
        <v>20</v>
      </c>
      <c r="B607" s="963"/>
      <c r="C607" s="989" t="s">
        <v>336</v>
      </c>
      <c r="D607" s="936" t="s">
        <v>621</v>
      </c>
      <c r="E607" s="1068">
        <v>2.415</v>
      </c>
      <c r="F607" s="1039">
        <v>10272</v>
      </c>
      <c r="G607" s="359"/>
      <c r="H607" s="359"/>
      <c r="I607" s="360"/>
      <c r="J607" s="525"/>
      <c r="K607" s="898"/>
      <c r="L607" s="1012"/>
      <c r="M607" s="27"/>
      <c r="N607" s="27"/>
      <c r="O607" s="361"/>
      <c r="P607" s="362"/>
      <c r="Q607" s="27"/>
      <c r="R607" s="540"/>
      <c r="S607" s="9"/>
      <c r="T607" s="9"/>
      <c r="U607" s="9"/>
      <c r="V607" s="74"/>
      <c r="W607" s="9"/>
      <c r="X607" s="74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316"/>
      <c r="AQ607" s="8"/>
    </row>
    <row r="608" spans="1:43" ht="15.4" hidden="1" customHeight="1" x14ac:dyDescent="0.25">
      <c r="A608" s="11">
        <f t="shared" si="6"/>
        <v>21</v>
      </c>
      <c r="B608" s="963"/>
      <c r="C608" s="989" t="s">
        <v>337</v>
      </c>
      <c r="D608" s="936" t="s">
        <v>622</v>
      </c>
      <c r="E608" s="1068">
        <v>9.9570000000000007</v>
      </c>
      <c r="F608" s="1039">
        <v>61084</v>
      </c>
      <c r="G608" s="359"/>
      <c r="H608" s="359"/>
      <c r="I608" s="360"/>
      <c r="J608" s="525"/>
      <c r="K608" s="898"/>
      <c r="L608" s="1012"/>
      <c r="M608" s="27"/>
      <c r="N608" s="27"/>
      <c r="O608" s="361"/>
      <c r="P608" s="362"/>
      <c r="Q608" s="27"/>
      <c r="R608" s="540"/>
      <c r="S608" s="9"/>
      <c r="T608" s="9"/>
      <c r="U608" s="9"/>
      <c r="V608" s="74"/>
      <c r="W608" s="9"/>
      <c r="X608" s="74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316"/>
      <c r="AQ608" s="8"/>
    </row>
    <row r="609" spans="1:43" ht="15.4" hidden="1" customHeight="1" x14ac:dyDescent="0.25">
      <c r="A609" s="11">
        <f t="shared" si="6"/>
        <v>22</v>
      </c>
      <c r="B609" s="963"/>
      <c r="C609" s="989" t="s">
        <v>338</v>
      </c>
      <c r="D609" s="936" t="s">
        <v>623</v>
      </c>
      <c r="E609" s="1068">
        <v>3.9289999999999998</v>
      </c>
      <c r="F609" s="1039">
        <v>17718</v>
      </c>
      <c r="G609" s="359"/>
      <c r="H609" s="359"/>
      <c r="I609" s="360"/>
      <c r="J609" s="525"/>
      <c r="K609" s="898"/>
      <c r="L609" s="1012"/>
      <c r="M609" s="27"/>
      <c r="N609" s="27"/>
      <c r="O609" s="361"/>
      <c r="P609" s="362"/>
      <c r="Q609" s="27"/>
      <c r="R609" s="540"/>
      <c r="S609" s="9"/>
      <c r="T609" s="9"/>
      <c r="U609" s="9"/>
      <c r="V609" s="74"/>
      <c r="W609" s="9"/>
      <c r="X609" s="74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316"/>
      <c r="AQ609" s="8"/>
    </row>
    <row r="610" spans="1:43" ht="15.4" hidden="1" customHeight="1" x14ac:dyDescent="0.25">
      <c r="A610" s="11"/>
      <c r="B610" s="963"/>
      <c r="C610" s="46" t="s">
        <v>883</v>
      </c>
      <c r="D610" s="936"/>
      <c r="E610" s="1068"/>
      <c r="F610" s="1039"/>
      <c r="G610" s="359"/>
      <c r="H610" s="359"/>
      <c r="I610" s="360"/>
      <c r="J610" s="525"/>
      <c r="K610" s="898"/>
      <c r="L610" s="1012"/>
      <c r="M610" s="27"/>
      <c r="N610" s="27"/>
      <c r="O610" s="361"/>
      <c r="P610" s="362"/>
      <c r="Q610" s="27"/>
      <c r="R610" s="540"/>
      <c r="S610" s="9"/>
      <c r="T610" s="9"/>
      <c r="U610" s="9"/>
      <c r="V610" s="74"/>
      <c r="W610" s="9"/>
      <c r="X610" s="74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316"/>
      <c r="AQ610" s="8"/>
    </row>
    <row r="611" spans="1:43" ht="15.4" hidden="1" customHeight="1" x14ac:dyDescent="0.25">
      <c r="A611" s="11">
        <f>A609+1</f>
        <v>23</v>
      </c>
      <c r="B611" s="963"/>
      <c r="C611" s="989" t="s">
        <v>339</v>
      </c>
      <c r="D611" s="936" t="s">
        <v>624</v>
      </c>
      <c r="E611" s="1068">
        <v>18.175999999999998</v>
      </c>
      <c r="F611" s="1039">
        <v>149212</v>
      </c>
      <c r="G611" s="359"/>
      <c r="H611" s="359"/>
      <c r="I611" s="360"/>
      <c r="J611" s="525"/>
      <c r="K611" s="898"/>
      <c r="L611" s="1012"/>
      <c r="M611" s="27"/>
      <c r="N611" s="27"/>
      <c r="O611" s="361"/>
      <c r="P611" s="362"/>
      <c r="Q611" s="27"/>
      <c r="R611" s="540"/>
      <c r="S611" s="9"/>
      <c r="T611" s="9"/>
      <c r="U611" s="9"/>
      <c r="V611" s="74"/>
      <c r="W611" s="9"/>
      <c r="X611" s="74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316"/>
      <c r="AQ611" s="8"/>
    </row>
    <row r="612" spans="1:43" ht="15.4" hidden="1" customHeight="1" x14ac:dyDescent="0.25">
      <c r="A612" s="11">
        <f t="shared" si="6"/>
        <v>24</v>
      </c>
      <c r="B612" s="963"/>
      <c r="C612" s="989" t="s">
        <v>956</v>
      </c>
      <c r="D612" s="936" t="s">
        <v>625</v>
      </c>
      <c r="E612" s="1068">
        <v>9.5</v>
      </c>
      <c r="F612" s="1039">
        <v>58841</v>
      </c>
      <c r="G612" s="359"/>
      <c r="H612" s="359"/>
      <c r="I612" s="360"/>
      <c r="J612" s="525"/>
      <c r="K612" s="898"/>
      <c r="L612" s="1012"/>
      <c r="M612" s="27"/>
      <c r="N612" s="27"/>
      <c r="O612" s="361"/>
      <c r="P612" s="362"/>
      <c r="Q612" s="27"/>
      <c r="R612" s="540"/>
      <c r="S612" s="9"/>
      <c r="T612" s="9"/>
      <c r="U612" s="9"/>
      <c r="V612" s="74"/>
      <c r="W612" s="9"/>
      <c r="X612" s="74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316"/>
      <c r="AQ612" s="8"/>
    </row>
    <row r="613" spans="1:43" ht="18.600000000000001" hidden="1" customHeight="1" x14ac:dyDescent="0.25">
      <c r="A613" s="11">
        <f t="shared" si="6"/>
        <v>25</v>
      </c>
      <c r="B613" s="963"/>
      <c r="C613" s="989" t="s">
        <v>957</v>
      </c>
      <c r="D613" s="936" t="s">
        <v>626</v>
      </c>
      <c r="E613" s="1068">
        <v>26.184999999999999</v>
      </c>
      <c r="F613" s="15">
        <v>207313</v>
      </c>
      <c r="G613" s="359"/>
      <c r="H613" s="359"/>
      <c r="I613" s="360"/>
      <c r="J613" s="525"/>
      <c r="K613" s="898"/>
      <c r="L613" s="1012"/>
      <c r="M613" s="27"/>
      <c r="N613" s="27"/>
      <c r="O613" s="361"/>
      <c r="P613" s="362"/>
      <c r="Q613" s="27"/>
      <c r="R613" s="540"/>
      <c r="S613" s="9"/>
      <c r="T613" s="9"/>
      <c r="U613" s="9"/>
      <c r="V613" s="74"/>
      <c r="W613" s="9"/>
      <c r="X613" s="74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316"/>
      <c r="AQ613" s="8"/>
    </row>
    <row r="614" spans="1:43" ht="28.35" hidden="1" customHeight="1" x14ac:dyDescent="0.25">
      <c r="A614" s="11">
        <f t="shared" si="6"/>
        <v>26</v>
      </c>
      <c r="B614" s="963"/>
      <c r="C614" s="989" t="s">
        <v>340</v>
      </c>
      <c r="D614" s="936" t="s">
        <v>627</v>
      </c>
      <c r="E614" s="1068">
        <v>2.0920000000000001</v>
      </c>
      <c r="F614" s="1039">
        <v>13645</v>
      </c>
      <c r="G614" s="359"/>
      <c r="H614" s="359"/>
      <c r="I614" s="360"/>
      <c r="J614" s="525"/>
      <c r="K614" s="898"/>
      <c r="L614" s="1012"/>
      <c r="M614" s="27"/>
      <c r="N614" s="27"/>
      <c r="O614" s="361"/>
      <c r="P614" s="362"/>
      <c r="Q614" s="27"/>
      <c r="R614" s="540"/>
      <c r="S614" s="9"/>
      <c r="T614" s="9"/>
      <c r="U614" s="9"/>
      <c r="V614" s="74"/>
      <c r="W614" s="9"/>
      <c r="X614" s="74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316"/>
      <c r="AQ614" s="8"/>
    </row>
    <row r="615" spans="1:43" ht="31.15" hidden="1" customHeight="1" x14ac:dyDescent="0.25">
      <c r="A615" s="11">
        <f t="shared" si="6"/>
        <v>27</v>
      </c>
      <c r="B615" s="963"/>
      <c r="C615" s="989" t="s">
        <v>341</v>
      </c>
      <c r="D615" s="936" t="s">
        <v>628</v>
      </c>
      <c r="E615" s="1068">
        <v>5.3070000000000004</v>
      </c>
      <c r="F615" s="1039">
        <v>38909</v>
      </c>
      <c r="G615" s="359"/>
      <c r="H615" s="359"/>
      <c r="I615" s="360"/>
      <c r="J615" s="525"/>
      <c r="K615" s="898"/>
      <c r="L615" s="1012"/>
      <c r="M615" s="27"/>
      <c r="N615" s="27"/>
      <c r="O615" s="361"/>
      <c r="P615" s="362"/>
      <c r="Q615" s="27"/>
      <c r="R615" s="540"/>
      <c r="S615" s="9"/>
      <c r="T615" s="9"/>
      <c r="U615" s="9"/>
      <c r="V615" s="74"/>
      <c r="W615" s="9"/>
      <c r="X615" s="74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316"/>
      <c r="AQ615" s="8"/>
    </row>
    <row r="616" spans="1:43" ht="31.15" hidden="1" customHeight="1" x14ac:dyDescent="0.25">
      <c r="A616" s="11">
        <f t="shared" si="6"/>
        <v>28</v>
      </c>
      <c r="B616" s="963"/>
      <c r="C616" s="989" t="s">
        <v>342</v>
      </c>
      <c r="D616" s="936" t="s">
        <v>629</v>
      </c>
      <c r="E616" s="1068">
        <v>1.8</v>
      </c>
      <c r="F616" s="1039">
        <v>13459</v>
      </c>
      <c r="G616" s="359"/>
      <c r="H616" s="359"/>
      <c r="I616" s="360"/>
      <c r="J616" s="525"/>
      <c r="K616" s="898"/>
      <c r="L616" s="1012"/>
      <c r="M616" s="27"/>
      <c r="N616" s="27"/>
      <c r="O616" s="361"/>
      <c r="P616" s="362"/>
      <c r="Q616" s="27"/>
      <c r="R616" s="540"/>
      <c r="S616" s="9"/>
      <c r="T616" s="9"/>
      <c r="U616" s="9"/>
      <c r="V616" s="74"/>
      <c r="W616" s="9"/>
      <c r="X616" s="74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316"/>
      <c r="AQ616" s="8"/>
    </row>
    <row r="617" spans="1:43" ht="31.15" hidden="1" customHeight="1" x14ac:dyDescent="0.25">
      <c r="A617" s="11">
        <f t="shared" si="6"/>
        <v>29</v>
      </c>
      <c r="B617" s="963"/>
      <c r="C617" s="989" t="s">
        <v>343</v>
      </c>
      <c r="D617" s="936" t="s">
        <v>630</v>
      </c>
      <c r="E617" s="1068">
        <v>0.73799999999999999</v>
      </c>
      <c r="F617" s="1039">
        <v>4285</v>
      </c>
      <c r="G617" s="359"/>
      <c r="H617" s="359"/>
      <c r="I617" s="360"/>
      <c r="J617" s="525"/>
      <c r="K617" s="898"/>
      <c r="L617" s="1012"/>
      <c r="M617" s="27"/>
      <c r="N617" s="27"/>
      <c r="O617" s="361"/>
      <c r="P617" s="362"/>
      <c r="Q617" s="27"/>
      <c r="R617" s="540"/>
      <c r="S617" s="9"/>
      <c r="T617" s="9"/>
      <c r="U617" s="9"/>
      <c r="V617" s="74"/>
      <c r="W617" s="9"/>
      <c r="X617" s="74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316"/>
      <c r="AQ617" s="8"/>
    </row>
    <row r="618" spans="1:43" ht="17.649999999999999" hidden="1" customHeight="1" x14ac:dyDescent="0.25">
      <c r="A618" s="11">
        <f t="shared" si="6"/>
        <v>30</v>
      </c>
      <c r="B618" s="963"/>
      <c r="C618" s="989" t="s">
        <v>344</v>
      </c>
      <c r="D618" s="936" t="s">
        <v>631</v>
      </c>
      <c r="E618" s="1068">
        <v>1.8480000000000001</v>
      </c>
      <c r="F618" s="1039">
        <v>10814</v>
      </c>
      <c r="G618" s="359"/>
      <c r="H618" s="359"/>
      <c r="I618" s="360"/>
      <c r="J618" s="525"/>
      <c r="K618" s="898"/>
      <c r="L618" s="1012"/>
      <c r="M618" s="27"/>
      <c r="N618" s="27"/>
      <c r="O618" s="361"/>
      <c r="P618" s="362"/>
      <c r="Q618" s="27"/>
      <c r="R618" s="540"/>
      <c r="S618" s="9"/>
      <c r="T618" s="9"/>
      <c r="U618" s="9"/>
      <c r="V618" s="74"/>
      <c r="W618" s="9"/>
      <c r="X618" s="74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316"/>
      <c r="AQ618" s="8"/>
    </row>
    <row r="619" spans="1:43" ht="30.2" hidden="1" customHeight="1" x14ac:dyDescent="0.25">
      <c r="A619" s="11">
        <f t="shared" si="6"/>
        <v>31</v>
      </c>
      <c r="B619" s="963"/>
      <c r="C619" s="989" t="s">
        <v>345</v>
      </c>
      <c r="D619" s="936" t="s">
        <v>632</v>
      </c>
      <c r="E619" s="1068">
        <v>2.93</v>
      </c>
      <c r="F619" s="1039">
        <v>20188</v>
      </c>
      <c r="G619" s="359"/>
      <c r="H619" s="359"/>
      <c r="I619" s="360"/>
      <c r="J619" s="525"/>
      <c r="K619" s="898"/>
      <c r="L619" s="1012"/>
      <c r="M619" s="27"/>
      <c r="N619" s="27"/>
      <c r="O619" s="361"/>
      <c r="P619" s="362"/>
      <c r="Q619" s="27"/>
      <c r="R619" s="540"/>
      <c r="S619" s="9"/>
      <c r="T619" s="9"/>
      <c r="U619" s="9"/>
      <c r="V619" s="74"/>
      <c r="W619" s="9"/>
      <c r="X619" s="74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316"/>
      <c r="AQ619" s="8"/>
    </row>
    <row r="620" spans="1:43" ht="15.4" hidden="1" customHeight="1" x14ac:dyDescent="0.25">
      <c r="A620" s="11">
        <f t="shared" si="6"/>
        <v>32</v>
      </c>
      <c r="B620" s="963"/>
      <c r="C620" s="989" t="s">
        <v>346</v>
      </c>
      <c r="D620" s="936" t="s">
        <v>633</v>
      </c>
      <c r="E620" s="1068">
        <v>3</v>
      </c>
      <c r="F620" s="1039">
        <v>15347</v>
      </c>
      <c r="G620" s="359"/>
      <c r="H620" s="359"/>
      <c r="I620" s="360"/>
      <c r="J620" s="525"/>
      <c r="K620" s="898"/>
      <c r="L620" s="1012"/>
      <c r="M620" s="27"/>
      <c r="N620" s="27"/>
      <c r="O620" s="361"/>
      <c r="P620" s="362"/>
      <c r="Q620" s="27"/>
      <c r="R620" s="540"/>
      <c r="S620" s="9"/>
      <c r="T620" s="9"/>
      <c r="U620" s="9"/>
      <c r="V620" s="74"/>
      <c r="W620" s="9"/>
      <c r="X620" s="74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316"/>
      <c r="AQ620" s="8"/>
    </row>
    <row r="621" spans="1:43" ht="16.7" hidden="1" customHeight="1" x14ac:dyDescent="0.25">
      <c r="A621" s="11">
        <f t="shared" si="6"/>
        <v>33</v>
      </c>
      <c r="B621" s="963"/>
      <c r="C621" s="989" t="s">
        <v>347</v>
      </c>
      <c r="D621" s="936" t="s">
        <v>634</v>
      </c>
      <c r="E621" s="1068">
        <v>10.01</v>
      </c>
      <c r="F621" s="1039">
        <v>64501</v>
      </c>
      <c r="G621" s="359"/>
      <c r="H621" s="359"/>
      <c r="I621" s="360"/>
      <c r="J621" s="525"/>
      <c r="K621" s="898"/>
      <c r="L621" s="1012"/>
      <c r="M621" s="27"/>
      <c r="N621" s="27"/>
      <c r="O621" s="361"/>
      <c r="P621" s="362"/>
      <c r="Q621" s="27"/>
      <c r="R621" s="540"/>
      <c r="S621" s="9"/>
      <c r="T621" s="9"/>
      <c r="U621" s="9"/>
      <c r="V621" s="74"/>
      <c r="W621" s="9"/>
      <c r="X621" s="74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316"/>
      <c r="AQ621" s="8"/>
    </row>
    <row r="622" spans="1:43" ht="14.85" hidden="1" customHeight="1" x14ac:dyDescent="0.25">
      <c r="A622" s="11">
        <f t="shared" si="6"/>
        <v>34</v>
      </c>
      <c r="B622" s="963"/>
      <c r="C622" s="989" t="s">
        <v>348</v>
      </c>
      <c r="D622" s="936" t="s">
        <v>635</v>
      </c>
      <c r="E622" s="1068">
        <v>2.984</v>
      </c>
      <c r="F622" s="1039">
        <v>19930</v>
      </c>
      <c r="G622" s="359"/>
      <c r="H622" s="359"/>
      <c r="I622" s="360"/>
      <c r="J622" s="525"/>
      <c r="K622" s="898"/>
      <c r="L622" s="1012"/>
      <c r="M622" s="27"/>
      <c r="N622" s="27"/>
      <c r="O622" s="361"/>
      <c r="P622" s="362"/>
      <c r="Q622" s="27"/>
      <c r="R622" s="540"/>
      <c r="S622" s="9"/>
      <c r="T622" s="9"/>
      <c r="U622" s="9"/>
      <c r="V622" s="74"/>
      <c r="W622" s="9"/>
      <c r="X622" s="74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316"/>
      <c r="AQ622" s="8"/>
    </row>
    <row r="623" spans="1:43" ht="31.15" hidden="1" customHeight="1" x14ac:dyDescent="0.25">
      <c r="A623" s="11">
        <f t="shared" si="6"/>
        <v>35</v>
      </c>
      <c r="B623" s="963"/>
      <c r="C623" s="989" t="s">
        <v>274</v>
      </c>
      <c r="D623" s="936" t="s">
        <v>636</v>
      </c>
      <c r="E623" s="1068">
        <v>1.8</v>
      </c>
      <c r="F623" s="1039">
        <v>8130</v>
      </c>
      <c r="G623" s="359"/>
      <c r="H623" s="359"/>
      <c r="I623" s="360"/>
      <c r="J623" s="525"/>
      <c r="K623" s="898"/>
      <c r="L623" s="1012"/>
      <c r="M623" s="27"/>
      <c r="N623" s="27"/>
      <c r="O623" s="361"/>
      <c r="P623" s="362"/>
      <c r="Q623" s="27"/>
      <c r="R623" s="540"/>
      <c r="S623" s="9"/>
      <c r="T623" s="9"/>
      <c r="U623" s="9"/>
      <c r="V623" s="74"/>
      <c r="W623" s="9"/>
      <c r="X623" s="74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316"/>
      <c r="AQ623" s="8"/>
    </row>
    <row r="624" spans="1:43" ht="19.899999999999999" hidden="1" customHeight="1" x14ac:dyDescent="0.25">
      <c r="A624" s="11">
        <f t="shared" si="6"/>
        <v>36</v>
      </c>
      <c r="B624" s="963"/>
      <c r="C624" s="989" t="s">
        <v>349</v>
      </c>
      <c r="D624" s="936" t="s">
        <v>637</v>
      </c>
      <c r="E624" s="1068">
        <v>3.66</v>
      </c>
      <c r="F624" s="1039">
        <v>22336</v>
      </c>
      <c r="G624" s="359"/>
      <c r="H624" s="359"/>
      <c r="I624" s="360"/>
      <c r="J624" s="525"/>
      <c r="K624" s="898"/>
      <c r="L624" s="1012"/>
      <c r="M624" s="27"/>
      <c r="N624" s="27"/>
      <c r="O624" s="361"/>
      <c r="P624" s="362"/>
      <c r="Q624" s="27"/>
      <c r="R624" s="540"/>
      <c r="S624" s="9"/>
      <c r="T624" s="9"/>
      <c r="U624" s="9"/>
      <c r="V624" s="74"/>
      <c r="W624" s="9"/>
      <c r="X624" s="74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316"/>
      <c r="AQ624" s="8"/>
    </row>
    <row r="625" spans="1:43" ht="17.649999999999999" hidden="1" customHeight="1" x14ac:dyDescent="0.25">
      <c r="A625" s="11">
        <f t="shared" si="6"/>
        <v>37</v>
      </c>
      <c r="B625" s="963"/>
      <c r="C625" s="989" t="s">
        <v>350</v>
      </c>
      <c r="D625" s="936" t="s">
        <v>638</v>
      </c>
      <c r="E625" s="1068">
        <v>5.3369999999999997</v>
      </c>
      <c r="F625" s="1039">
        <v>31856</v>
      </c>
      <c r="G625" s="359"/>
      <c r="H625" s="359"/>
      <c r="I625" s="360"/>
      <c r="J625" s="525"/>
      <c r="K625" s="898"/>
      <c r="L625" s="1012"/>
      <c r="M625" s="27"/>
      <c r="N625" s="27"/>
      <c r="O625" s="361"/>
      <c r="P625" s="362"/>
      <c r="Q625" s="27"/>
      <c r="R625" s="540"/>
      <c r="S625" s="9"/>
      <c r="T625" s="9"/>
      <c r="U625" s="9"/>
      <c r="V625" s="74"/>
      <c r="W625" s="9"/>
      <c r="X625" s="74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316"/>
      <c r="AQ625" s="8"/>
    </row>
    <row r="626" spans="1:43" ht="17.649999999999999" hidden="1" customHeight="1" x14ac:dyDescent="0.25">
      <c r="A626" s="11"/>
      <c r="B626" s="963"/>
      <c r="C626" s="46" t="s">
        <v>884</v>
      </c>
      <c r="D626" s="936"/>
      <c r="E626" s="1068"/>
      <c r="F626" s="1039"/>
      <c r="G626" s="359"/>
      <c r="H626" s="359"/>
      <c r="I626" s="360"/>
      <c r="J626" s="525"/>
      <c r="K626" s="898"/>
      <c r="L626" s="1012"/>
      <c r="M626" s="27"/>
      <c r="N626" s="27"/>
      <c r="O626" s="361"/>
      <c r="P626" s="362"/>
      <c r="Q626" s="27"/>
      <c r="R626" s="540"/>
      <c r="S626" s="9"/>
      <c r="T626" s="9"/>
      <c r="U626" s="9"/>
      <c r="V626" s="74"/>
      <c r="W626" s="9"/>
      <c r="X626" s="74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316"/>
      <c r="AQ626" s="8"/>
    </row>
    <row r="627" spans="1:43" ht="19.899999999999999" hidden="1" customHeight="1" x14ac:dyDescent="0.25">
      <c r="A627" s="11">
        <f>A625+1</f>
        <v>38</v>
      </c>
      <c r="B627" s="963"/>
      <c r="C627" s="989" t="s">
        <v>351</v>
      </c>
      <c r="D627" s="936" t="s">
        <v>639</v>
      </c>
      <c r="E627" s="1068">
        <v>19.2</v>
      </c>
      <c r="F627" s="1039">
        <v>130185</v>
      </c>
      <c r="G627" s="359"/>
      <c r="H627" s="359"/>
      <c r="I627" s="360"/>
      <c r="J627" s="525"/>
      <c r="K627" s="898"/>
      <c r="L627" s="1012"/>
      <c r="M627" s="27"/>
      <c r="N627" s="27"/>
      <c r="O627" s="361"/>
      <c r="P627" s="362"/>
      <c r="Q627" s="27"/>
      <c r="R627" s="540"/>
      <c r="S627" s="9"/>
      <c r="T627" s="9"/>
      <c r="U627" s="9"/>
      <c r="V627" s="74"/>
      <c r="W627" s="9"/>
      <c r="X627" s="74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316"/>
      <c r="AQ627" s="8"/>
    </row>
    <row r="628" spans="1:43" ht="19.899999999999999" hidden="1" customHeight="1" thickBot="1" x14ac:dyDescent="0.3">
      <c r="A628" s="156">
        <f t="shared" si="6"/>
        <v>39</v>
      </c>
      <c r="B628" s="892"/>
      <c r="C628" s="1004" t="s">
        <v>352</v>
      </c>
      <c r="D628" s="998" t="s">
        <v>640</v>
      </c>
      <c r="E628" s="1040">
        <v>13.18</v>
      </c>
      <c r="F628" s="1036">
        <v>95535</v>
      </c>
      <c r="G628" s="367"/>
      <c r="H628" s="367"/>
      <c r="I628" s="368"/>
      <c r="J628" s="160"/>
      <c r="K628" s="885"/>
      <c r="L628" s="897"/>
      <c r="M628" s="27"/>
      <c r="N628" s="27"/>
      <c r="O628" s="361"/>
      <c r="P628" s="362"/>
      <c r="Q628" s="27"/>
      <c r="R628" s="540"/>
      <c r="S628" s="9"/>
      <c r="T628" s="9"/>
      <c r="U628" s="9"/>
      <c r="V628" s="74"/>
      <c r="W628" s="9"/>
      <c r="X628" s="74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316"/>
      <c r="AQ628" s="8"/>
    </row>
    <row r="629" spans="1:43" ht="34.15" customHeight="1" x14ac:dyDescent="0.25">
      <c r="A629" s="1331">
        <v>18</v>
      </c>
      <c r="B629" s="2037" t="s">
        <v>1104</v>
      </c>
      <c r="C629" s="1185" t="s">
        <v>353</v>
      </c>
      <c r="D629" s="1319" t="s">
        <v>641</v>
      </c>
      <c r="E629" s="1172">
        <f>2.64+34.66</f>
        <v>37.299999999999997</v>
      </c>
      <c r="F629" s="1505">
        <f>26290+293494</f>
        <v>319784</v>
      </c>
      <c r="G629" s="1166" t="s">
        <v>1031</v>
      </c>
      <c r="H629" s="1166" t="s">
        <v>1105</v>
      </c>
      <c r="I629" s="1207" t="s">
        <v>7</v>
      </c>
      <c r="J629" s="167">
        <v>12.1</v>
      </c>
      <c r="K629" s="162" t="s">
        <v>2</v>
      </c>
      <c r="L629" s="1191">
        <f>146387.225-L631-L632</f>
        <v>144722.36600000001</v>
      </c>
      <c r="M629" s="204"/>
      <c r="N629" s="144"/>
      <c r="O629" s="138"/>
      <c r="P629" s="85"/>
      <c r="Q629" s="318"/>
      <c r="R629" s="535"/>
      <c r="S629" s="9"/>
      <c r="T629" s="9"/>
      <c r="U629" s="9"/>
      <c r="V629" s="74"/>
      <c r="W629" s="9"/>
      <c r="X629" s="74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316"/>
      <c r="AQ629" s="8"/>
    </row>
    <row r="630" spans="1:43" ht="18" customHeight="1" x14ac:dyDescent="0.25">
      <c r="A630" s="1332"/>
      <c r="B630" s="2038"/>
      <c r="C630" s="1186"/>
      <c r="D630" s="1320"/>
      <c r="E630" s="1173"/>
      <c r="F630" s="1501"/>
      <c r="G630" s="1167"/>
      <c r="H630" s="1167"/>
      <c r="I630" s="1157"/>
      <c r="J630" s="1061">
        <v>73880.09</v>
      </c>
      <c r="K630" s="318" t="s">
        <v>3</v>
      </c>
      <c r="L630" s="1192"/>
      <c r="M630" s="204"/>
      <c r="N630" s="144"/>
      <c r="O630" s="138"/>
      <c r="P630" s="1061"/>
      <c r="Q630" s="21"/>
      <c r="R630" s="535"/>
      <c r="S630" s="9"/>
      <c r="T630" s="9"/>
      <c r="U630" s="9"/>
      <c r="V630" s="74"/>
      <c r="W630" s="9"/>
      <c r="X630" s="74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316"/>
      <c r="AQ630" s="8"/>
    </row>
    <row r="631" spans="1:43" ht="18" customHeight="1" x14ac:dyDescent="0.25">
      <c r="A631" s="1332"/>
      <c r="B631" s="2038"/>
      <c r="C631" s="1186"/>
      <c r="D631" s="1320"/>
      <c r="E631" s="1173"/>
      <c r="F631" s="1501"/>
      <c r="G631" s="1167"/>
      <c r="H631" s="1167"/>
      <c r="I631" s="1053" t="s">
        <v>8</v>
      </c>
      <c r="J631" s="85">
        <v>35.814999999999998</v>
      </c>
      <c r="K631" s="318" t="s">
        <v>2</v>
      </c>
      <c r="L631" s="923">
        <v>566.89300000000003</v>
      </c>
      <c r="M631" s="204"/>
      <c r="N631" s="144"/>
      <c r="O631" s="1053"/>
      <c r="P631" s="85"/>
      <c r="Q631" s="318"/>
      <c r="R631" s="535"/>
      <c r="S631" s="9"/>
      <c r="T631" s="9"/>
      <c r="U631" s="9"/>
      <c r="V631" s="74"/>
      <c r="W631" s="9"/>
      <c r="X631" s="74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316"/>
      <c r="AQ631" s="8"/>
    </row>
    <row r="632" spans="1:43" ht="18" customHeight="1" thickBot="1" x14ac:dyDescent="0.3">
      <c r="A632" s="1333"/>
      <c r="B632" s="2039"/>
      <c r="C632" s="1318"/>
      <c r="D632" s="1321"/>
      <c r="E632" s="1174"/>
      <c r="F632" s="1506"/>
      <c r="G632" s="1168"/>
      <c r="H632" s="1168"/>
      <c r="I632" s="1113" t="s">
        <v>32</v>
      </c>
      <c r="J632" s="185">
        <v>133</v>
      </c>
      <c r="K632" s="169" t="s">
        <v>10</v>
      </c>
      <c r="L632" s="861">
        <v>1097.9659999999999</v>
      </c>
      <c r="M632" s="204"/>
      <c r="N632" s="144"/>
      <c r="O632" s="1053"/>
      <c r="P632" s="85"/>
      <c r="Q632" s="318"/>
      <c r="R632" s="535"/>
      <c r="S632" s="9"/>
      <c r="T632" s="9"/>
      <c r="U632" s="9"/>
      <c r="V632" s="74"/>
      <c r="W632" s="9"/>
      <c r="X632" s="74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316"/>
      <c r="AQ632" s="8"/>
    </row>
    <row r="633" spans="1:43" ht="16.149999999999999" hidden="1" customHeight="1" x14ac:dyDescent="0.25">
      <c r="A633" s="61">
        <f>A629+1</f>
        <v>19</v>
      </c>
      <c r="B633" s="893"/>
      <c r="C633" s="996" t="s">
        <v>354</v>
      </c>
      <c r="D633" s="936" t="s">
        <v>642</v>
      </c>
      <c r="E633" s="991">
        <v>17.329999999999998</v>
      </c>
      <c r="F633" s="1037">
        <v>230104</v>
      </c>
      <c r="G633" s="369"/>
      <c r="H633" s="369"/>
      <c r="I633" s="360"/>
      <c r="J633" s="154"/>
      <c r="K633" s="898"/>
      <c r="L633" s="384"/>
      <c r="M633" s="27"/>
      <c r="N633" s="27"/>
      <c r="O633" s="361"/>
      <c r="P633" s="137"/>
      <c r="Q633" s="9"/>
      <c r="R633" s="1030"/>
      <c r="S633" s="9"/>
      <c r="T633" s="9"/>
      <c r="U633" s="9"/>
      <c r="V633" s="74"/>
      <c r="W633" s="9"/>
      <c r="X633" s="74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316"/>
      <c r="AQ633" s="8"/>
    </row>
    <row r="634" spans="1:43" ht="16.149999999999999" hidden="1" customHeight="1" x14ac:dyDescent="0.25">
      <c r="A634" s="11">
        <f t="shared" si="6"/>
        <v>20</v>
      </c>
      <c r="B634" s="963"/>
      <c r="C634" s="989" t="s">
        <v>958</v>
      </c>
      <c r="D634" s="936" t="s">
        <v>643</v>
      </c>
      <c r="E634" s="1068">
        <v>0.97</v>
      </c>
      <c r="F634" s="1039">
        <v>5667</v>
      </c>
      <c r="G634" s="359"/>
      <c r="H634" s="359"/>
      <c r="I634" s="360"/>
      <c r="J634" s="525"/>
      <c r="K634" s="898"/>
      <c r="L634" s="1007"/>
      <c r="M634" s="27"/>
      <c r="N634" s="27"/>
      <c r="O634" s="361"/>
      <c r="P634" s="137"/>
      <c r="Q634" s="9"/>
      <c r="R634" s="1030"/>
      <c r="S634" s="9"/>
      <c r="T634" s="9"/>
      <c r="U634" s="9"/>
      <c r="V634" s="74"/>
      <c r="W634" s="9"/>
      <c r="X634" s="74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316"/>
      <c r="AQ634" s="8"/>
    </row>
    <row r="635" spans="1:43" ht="16.149999999999999" hidden="1" customHeight="1" x14ac:dyDescent="0.25">
      <c r="A635" s="11">
        <f t="shared" si="6"/>
        <v>21</v>
      </c>
      <c r="B635" s="963"/>
      <c r="C635" s="989" t="s">
        <v>355</v>
      </c>
      <c r="D635" s="936" t="s">
        <v>644</v>
      </c>
      <c r="E635" s="1068">
        <v>1.2</v>
      </c>
      <c r="F635" s="1039">
        <v>6967</v>
      </c>
      <c r="G635" s="359"/>
      <c r="H635" s="359"/>
      <c r="I635" s="360"/>
      <c r="J635" s="525"/>
      <c r="K635" s="898"/>
      <c r="L635" s="1007"/>
      <c r="M635" s="27"/>
      <c r="N635" s="27"/>
      <c r="O635" s="361"/>
      <c r="P635" s="137"/>
      <c r="Q635" s="9"/>
      <c r="R635" s="1030"/>
      <c r="S635" s="9"/>
      <c r="T635" s="9"/>
      <c r="U635" s="9"/>
      <c r="V635" s="74"/>
      <c r="W635" s="9"/>
      <c r="X635" s="74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316"/>
      <c r="AQ635" s="8"/>
    </row>
    <row r="636" spans="1:43" ht="16.149999999999999" hidden="1" customHeight="1" x14ac:dyDescent="0.25">
      <c r="A636" s="11">
        <f t="shared" si="6"/>
        <v>22</v>
      </c>
      <c r="B636" s="963"/>
      <c r="C636" s="989" t="s">
        <v>356</v>
      </c>
      <c r="D636" s="936" t="s">
        <v>645</v>
      </c>
      <c r="E636" s="1068">
        <v>5.26</v>
      </c>
      <c r="F636" s="1039">
        <v>30049</v>
      </c>
      <c r="G636" s="359"/>
      <c r="H636" s="359"/>
      <c r="I636" s="360"/>
      <c r="J636" s="525"/>
      <c r="K636" s="898"/>
      <c r="L636" s="1007"/>
      <c r="M636" s="27"/>
      <c r="N636" s="27"/>
      <c r="O636" s="361"/>
      <c r="P636" s="137"/>
      <c r="Q636" s="9"/>
      <c r="R636" s="1030"/>
      <c r="S636" s="9"/>
      <c r="T636" s="9"/>
      <c r="U636" s="9"/>
      <c r="V636" s="74"/>
      <c r="W636" s="9"/>
      <c r="X636" s="74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316"/>
      <c r="AQ636" s="8"/>
    </row>
    <row r="637" spans="1:43" ht="32.1" hidden="1" customHeight="1" x14ac:dyDescent="0.25">
      <c r="A637" s="11">
        <f t="shared" si="6"/>
        <v>23</v>
      </c>
      <c r="B637" s="963"/>
      <c r="C637" s="989" t="s">
        <v>959</v>
      </c>
      <c r="D637" s="936" t="s">
        <v>646</v>
      </c>
      <c r="E637" s="1068">
        <f>11.5+3.445</f>
        <v>14.945</v>
      </c>
      <c r="F637" s="1039">
        <f>102318+12256</f>
        <v>114574</v>
      </c>
      <c r="G637" s="359"/>
      <c r="H637" s="359"/>
      <c r="I637" s="360"/>
      <c r="J637" s="525"/>
      <c r="K637" s="898"/>
      <c r="L637" s="1007"/>
      <c r="M637" s="27"/>
      <c r="N637" s="27"/>
      <c r="O637" s="361"/>
      <c r="P637" s="137"/>
      <c r="Q637" s="9"/>
      <c r="R637" s="1030"/>
      <c r="S637" s="9"/>
      <c r="T637" s="9"/>
      <c r="U637" s="9"/>
      <c r="V637" s="74"/>
      <c r="W637" s="9"/>
      <c r="X637" s="74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316"/>
      <c r="AQ637" s="8"/>
    </row>
    <row r="638" spans="1:43" ht="16.149999999999999" hidden="1" customHeight="1" x14ac:dyDescent="0.25">
      <c r="A638" s="11">
        <f t="shared" si="6"/>
        <v>24</v>
      </c>
      <c r="B638" s="963"/>
      <c r="C638" s="989" t="s">
        <v>960</v>
      </c>
      <c r="D638" s="936" t="s">
        <v>647</v>
      </c>
      <c r="E638" s="1068">
        <v>3.1</v>
      </c>
      <c r="F638" s="1039">
        <v>19044</v>
      </c>
      <c r="G638" s="359"/>
      <c r="H638" s="359"/>
      <c r="I638" s="360"/>
      <c r="J638" s="525"/>
      <c r="K638" s="898"/>
      <c r="L638" s="1007"/>
      <c r="M638" s="27"/>
      <c r="N638" s="27"/>
      <c r="O638" s="361"/>
      <c r="P638" s="137"/>
      <c r="Q638" s="9"/>
      <c r="R638" s="1030"/>
      <c r="S638" s="9"/>
      <c r="T638" s="9"/>
      <c r="U638" s="9"/>
      <c r="V638" s="74"/>
      <c r="W638" s="9"/>
      <c r="X638" s="74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316"/>
      <c r="AQ638" s="8"/>
    </row>
    <row r="639" spans="1:43" ht="16.149999999999999" hidden="1" customHeight="1" x14ac:dyDescent="0.25">
      <c r="A639" s="11">
        <f t="shared" si="6"/>
        <v>25</v>
      </c>
      <c r="B639" s="963"/>
      <c r="C639" s="989" t="s">
        <v>961</v>
      </c>
      <c r="D639" s="936" t="s">
        <v>648</v>
      </c>
      <c r="E639" s="1068">
        <v>5.5</v>
      </c>
      <c r="F639" s="1039">
        <v>44440</v>
      </c>
      <c r="G639" s="359"/>
      <c r="H639" s="359"/>
      <c r="I639" s="360"/>
      <c r="J639" s="525"/>
      <c r="K639" s="898"/>
      <c r="L639" s="1007"/>
      <c r="M639" s="27"/>
      <c r="N639" s="27"/>
      <c r="O639" s="361"/>
      <c r="P639" s="137"/>
      <c r="Q639" s="9"/>
      <c r="R639" s="1030"/>
      <c r="S639" s="9"/>
      <c r="T639" s="9"/>
      <c r="U639" s="9"/>
      <c r="V639" s="74"/>
      <c r="W639" s="9"/>
      <c r="X639" s="74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316"/>
      <c r="AQ639" s="8"/>
    </row>
    <row r="640" spans="1:43" ht="33.4" hidden="1" customHeight="1" x14ac:dyDescent="0.25">
      <c r="A640" s="11">
        <f t="shared" si="6"/>
        <v>26</v>
      </c>
      <c r="B640" s="963"/>
      <c r="C640" s="989" t="s">
        <v>962</v>
      </c>
      <c r="D640" s="936" t="s">
        <v>649</v>
      </c>
      <c r="E640" s="1068">
        <v>9.67</v>
      </c>
      <c r="F640" s="1039">
        <v>58772</v>
      </c>
      <c r="G640" s="359"/>
      <c r="H640" s="359"/>
      <c r="I640" s="360"/>
      <c r="J640" s="525"/>
      <c r="K640" s="898"/>
      <c r="L640" s="1007"/>
      <c r="M640" s="27"/>
      <c r="N640" s="27"/>
      <c r="O640" s="361"/>
      <c r="P640" s="137"/>
      <c r="Q640" s="9"/>
      <c r="R640" s="1030"/>
      <c r="S640" s="9"/>
      <c r="T640" s="9"/>
      <c r="U640" s="9"/>
      <c r="V640" s="74"/>
      <c r="W640" s="9"/>
      <c r="X640" s="74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316"/>
      <c r="AQ640" s="8"/>
    </row>
    <row r="641" spans="1:43" ht="13.5" hidden="1" customHeight="1" x14ac:dyDescent="0.25">
      <c r="A641" s="11">
        <f t="shared" si="6"/>
        <v>27</v>
      </c>
      <c r="B641" s="963"/>
      <c r="C641" s="989" t="s">
        <v>963</v>
      </c>
      <c r="D641" s="936" t="s">
        <v>650</v>
      </c>
      <c r="E641" s="1068">
        <v>2.1</v>
      </c>
      <c r="F641" s="1039">
        <v>12703</v>
      </c>
      <c r="G641" s="359"/>
      <c r="H641" s="359"/>
      <c r="I641" s="360"/>
      <c r="J641" s="525"/>
      <c r="K641" s="898"/>
      <c r="L641" s="1007"/>
      <c r="M641" s="27"/>
      <c r="N641" s="27"/>
      <c r="O641" s="361"/>
      <c r="P641" s="137"/>
      <c r="Q641" s="9"/>
      <c r="R641" s="1030"/>
      <c r="S641" s="9"/>
      <c r="T641" s="9"/>
      <c r="U641" s="9"/>
      <c r="V641" s="74"/>
      <c r="W641" s="9"/>
      <c r="X641" s="74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316"/>
      <c r="AQ641" s="8"/>
    </row>
    <row r="642" spans="1:43" ht="13.5" hidden="1" customHeight="1" thickBot="1" x14ac:dyDescent="0.3">
      <c r="A642" s="156">
        <f t="shared" si="6"/>
        <v>28</v>
      </c>
      <c r="B642" s="892"/>
      <c r="C642" s="1004" t="s">
        <v>964</v>
      </c>
      <c r="D642" s="998" t="s">
        <v>651</v>
      </c>
      <c r="E642" s="1040">
        <v>2.76</v>
      </c>
      <c r="F642" s="1036">
        <v>13465</v>
      </c>
      <c r="G642" s="367"/>
      <c r="H642" s="367"/>
      <c r="I642" s="368"/>
      <c r="J642" s="160"/>
      <c r="K642" s="885"/>
      <c r="L642" s="385"/>
      <c r="M642" s="27"/>
      <c r="N642" s="27"/>
      <c r="O642" s="361"/>
      <c r="P642" s="137"/>
      <c r="Q642" s="9"/>
      <c r="R642" s="1030"/>
      <c r="S642" s="9"/>
      <c r="T642" s="9"/>
      <c r="U642" s="9"/>
      <c r="V642" s="74"/>
      <c r="W642" s="9"/>
      <c r="X642" s="74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316"/>
      <c r="AQ642" s="8"/>
    </row>
    <row r="643" spans="1:43" ht="25.7" customHeight="1" x14ac:dyDescent="0.25">
      <c r="A643" s="1235">
        <v>19</v>
      </c>
      <c r="B643" s="1275">
        <v>1959969</v>
      </c>
      <c r="C643" s="1193" t="s">
        <v>357</v>
      </c>
      <c r="D643" s="1289" t="s">
        <v>652</v>
      </c>
      <c r="E643" s="1484">
        <v>4.1900000000000004</v>
      </c>
      <c r="F643" s="1426">
        <v>26520</v>
      </c>
      <c r="G643" s="1303" t="s">
        <v>1031</v>
      </c>
      <c r="H643" s="1303" t="s">
        <v>1097</v>
      </c>
      <c r="I643" s="1190" t="s">
        <v>7</v>
      </c>
      <c r="J643" s="1041">
        <v>4.1900000000000004</v>
      </c>
      <c r="K643" s="162" t="s">
        <v>2</v>
      </c>
      <c r="L643" s="1282">
        <v>21926.923999999999</v>
      </c>
      <c r="M643" s="178"/>
      <c r="N643" s="9"/>
      <c r="O643" s="65"/>
      <c r="P643" s="137"/>
      <c r="Q643" s="9"/>
      <c r="R643" s="553"/>
      <c r="S643" s="9"/>
      <c r="T643" s="9"/>
      <c r="U643" s="9"/>
      <c r="V643" s="74"/>
      <c r="W643" s="9"/>
      <c r="X643" s="74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316"/>
      <c r="AQ643" s="8"/>
    </row>
    <row r="644" spans="1:43" ht="19.899999999999999" customHeight="1" thickBot="1" x14ac:dyDescent="0.3">
      <c r="A644" s="1224"/>
      <c r="B644" s="1276"/>
      <c r="C644" s="1194"/>
      <c r="D644" s="1234"/>
      <c r="E644" s="1485"/>
      <c r="F644" s="1427"/>
      <c r="G644" s="1163"/>
      <c r="H644" s="1163"/>
      <c r="I644" s="1161"/>
      <c r="J644" s="163">
        <v>24630</v>
      </c>
      <c r="K644" s="158" t="s">
        <v>3</v>
      </c>
      <c r="L644" s="1283"/>
      <c r="M644" s="178"/>
      <c r="N644" s="9"/>
      <c r="O644" s="65"/>
      <c r="P644" s="137"/>
      <c r="Q644" s="9"/>
      <c r="R644" s="553"/>
      <c r="S644" s="9"/>
      <c r="T644" s="9"/>
      <c r="U644" s="9"/>
      <c r="V644" s="74"/>
      <c r="W644" s="9"/>
      <c r="X644" s="74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316"/>
      <c r="AQ644" s="8"/>
    </row>
    <row r="645" spans="1:43" ht="13.5" hidden="1" customHeight="1" x14ac:dyDescent="0.25">
      <c r="A645" s="61">
        <f>A643+1</f>
        <v>20</v>
      </c>
      <c r="B645" s="893"/>
      <c r="C645" s="996" t="s">
        <v>358</v>
      </c>
      <c r="D645" s="936" t="s">
        <v>653</v>
      </c>
      <c r="E645" s="991">
        <v>13.26</v>
      </c>
      <c r="F645" s="1037">
        <v>68232</v>
      </c>
      <c r="G645" s="369"/>
      <c r="H645" s="369"/>
      <c r="I645" s="360"/>
      <c r="J645" s="154"/>
      <c r="K645" s="898"/>
      <c r="L645" s="384"/>
      <c r="M645" s="27"/>
      <c r="N645" s="27"/>
      <c r="O645" s="361"/>
      <c r="P645" s="110"/>
      <c r="Q645" s="27"/>
      <c r="R645" s="540"/>
      <c r="S645" s="9"/>
      <c r="T645" s="9"/>
      <c r="U645" s="9"/>
      <c r="V645" s="74"/>
      <c r="W645" s="9"/>
      <c r="X645" s="74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316"/>
      <c r="AQ645" s="8"/>
    </row>
    <row r="646" spans="1:43" ht="30.2" hidden="1" customHeight="1" x14ac:dyDescent="0.25">
      <c r="A646" s="11">
        <f t="shared" si="6"/>
        <v>21</v>
      </c>
      <c r="B646" s="963"/>
      <c r="C646" s="989" t="s">
        <v>965</v>
      </c>
      <c r="D646" s="936" t="s">
        <v>654</v>
      </c>
      <c r="E646" s="1068">
        <v>3.57</v>
      </c>
      <c r="F646" s="1039">
        <v>21680</v>
      </c>
      <c r="G646" s="359"/>
      <c r="H646" s="359"/>
      <c r="I646" s="360"/>
      <c r="J646" s="525"/>
      <c r="K646" s="898"/>
      <c r="L646" s="1007"/>
      <c r="M646" s="27"/>
      <c r="N646" s="27"/>
      <c r="O646" s="361"/>
      <c r="P646" s="110"/>
      <c r="Q646" s="27"/>
      <c r="R646" s="540"/>
      <c r="S646" s="9"/>
      <c r="T646" s="9"/>
      <c r="U646" s="9"/>
      <c r="V646" s="74"/>
      <c r="W646" s="9"/>
      <c r="X646" s="74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316"/>
      <c r="AQ646" s="8"/>
    </row>
    <row r="647" spans="1:43" ht="16.7" hidden="1" customHeight="1" x14ac:dyDescent="0.25">
      <c r="A647" s="11">
        <f t="shared" si="6"/>
        <v>22</v>
      </c>
      <c r="B647" s="963"/>
      <c r="C647" s="989" t="s">
        <v>359</v>
      </c>
      <c r="D647" s="936" t="s">
        <v>655</v>
      </c>
      <c r="E647" s="1068">
        <v>5.39</v>
      </c>
      <c r="F647" s="1039">
        <v>30785</v>
      </c>
      <c r="G647" s="359"/>
      <c r="H647" s="359"/>
      <c r="I647" s="360"/>
      <c r="J647" s="525"/>
      <c r="K647" s="898"/>
      <c r="L647" s="1007"/>
      <c r="M647" s="27"/>
      <c r="N647" s="27"/>
      <c r="O647" s="361"/>
      <c r="P647" s="110"/>
      <c r="Q647" s="27"/>
      <c r="R647" s="540"/>
      <c r="S647" s="9"/>
      <c r="T647" s="9"/>
      <c r="U647" s="9"/>
      <c r="V647" s="74"/>
      <c r="W647" s="9"/>
      <c r="X647" s="74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316"/>
      <c r="AQ647" s="8"/>
    </row>
    <row r="648" spans="1:43" ht="16.7" hidden="1" customHeight="1" x14ac:dyDescent="0.25">
      <c r="A648" s="11">
        <f t="shared" si="6"/>
        <v>23</v>
      </c>
      <c r="B648" s="963"/>
      <c r="C648" s="989" t="s">
        <v>360</v>
      </c>
      <c r="D648" s="936" t="s">
        <v>656</v>
      </c>
      <c r="E648" s="1068">
        <v>9.8000000000000007</v>
      </c>
      <c r="F648" s="1039">
        <v>63841</v>
      </c>
      <c r="G648" s="359"/>
      <c r="H648" s="359"/>
      <c r="I648" s="360"/>
      <c r="J648" s="525"/>
      <c r="K648" s="898"/>
      <c r="L648" s="1007"/>
      <c r="M648" s="27"/>
      <c r="N648" s="27"/>
      <c r="O648" s="361"/>
      <c r="P648" s="110"/>
      <c r="Q648" s="27"/>
      <c r="R648" s="540"/>
      <c r="S648" s="9"/>
      <c r="T648" s="9"/>
      <c r="U648" s="9"/>
      <c r="V648" s="74"/>
      <c r="W648" s="9"/>
      <c r="X648" s="74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316"/>
      <c r="AQ648" s="8"/>
    </row>
    <row r="649" spans="1:43" ht="16.7" hidden="1" customHeight="1" x14ac:dyDescent="0.25">
      <c r="A649" s="11">
        <f t="shared" si="6"/>
        <v>24</v>
      </c>
      <c r="B649" s="963"/>
      <c r="C649" s="989" t="s">
        <v>361</v>
      </c>
      <c r="D649" s="936" t="s">
        <v>657</v>
      </c>
      <c r="E649" s="1068">
        <v>7.2</v>
      </c>
      <c r="F649" s="1039">
        <v>35622</v>
      </c>
      <c r="G649" s="359"/>
      <c r="H649" s="359"/>
      <c r="I649" s="360"/>
      <c r="J649" s="525"/>
      <c r="K649" s="898"/>
      <c r="L649" s="1007"/>
      <c r="M649" s="27"/>
      <c r="N649" s="27"/>
      <c r="O649" s="361"/>
      <c r="P649" s="110"/>
      <c r="Q649" s="27"/>
      <c r="R649" s="540"/>
      <c r="S649" s="9"/>
      <c r="T649" s="9"/>
      <c r="U649" s="9"/>
      <c r="V649" s="74"/>
      <c r="W649" s="9"/>
      <c r="X649" s="74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316"/>
      <c r="AQ649" s="8"/>
    </row>
    <row r="650" spans="1:43" ht="16.7" hidden="1" customHeight="1" x14ac:dyDescent="0.25">
      <c r="A650" s="11">
        <f t="shared" si="6"/>
        <v>25</v>
      </c>
      <c r="B650" s="963"/>
      <c r="C650" s="989" t="s">
        <v>362</v>
      </c>
      <c r="D650" s="936" t="s">
        <v>658</v>
      </c>
      <c r="E650" s="1068">
        <v>8.92</v>
      </c>
      <c r="F650" s="1039">
        <v>58367</v>
      </c>
      <c r="G650" s="359"/>
      <c r="H650" s="359"/>
      <c r="I650" s="360"/>
      <c r="J650" s="525"/>
      <c r="K650" s="898"/>
      <c r="L650" s="1007"/>
      <c r="M650" s="27"/>
      <c r="N650" s="27"/>
      <c r="O650" s="361"/>
      <c r="P650" s="110"/>
      <c r="Q650" s="27"/>
      <c r="R650" s="540"/>
      <c r="S650" s="9"/>
      <c r="T650" s="9"/>
      <c r="U650" s="9"/>
      <c r="V650" s="74"/>
      <c r="W650" s="9"/>
      <c r="X650" s="74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316"/>
      <c r="AQ650" s="8"/>
    </row>
    <row r="651" spans="1:43" ht="16.149999999999999" hidden="1" customHeight="1" x14ac:dyDescent="0.25">
      <c r="A651" s="11">
        <f t="shared" si="6"/>
        <v>26</v>
      </c>
      <c r="B651" s="963"/>
      <c r="C651" s="989" t="s">
        <v>966</v>
      </c>
      <c r="D651" s="936" t="s">
        <v>659</v>
      </c>
      <c r="E651" s="1068">
        <v>7.4</v>
      </c>
      <c r="F651" s="1039">
        <v>48888</v>
      </c>
      <c r="G651" s="359"/>
      <c r="H651" s="359"/>
      <c r="I651" s="360"/>
      <c r="J651" s="525"/>
      <c r="K651" s="898"/>
      <c r="L651" s="1007"/>
      <c r="M651" s="27"/>
      <c r="N651" s="27"/>
      <c r="O651" s="361"/>
      <c r="P651" s="110"/>
      <c r="Q651" s="27"/>
      <c r="R651" s="540"/>
      <c r="S651" s="9"/>
      <c r="T651" s="9"/>
      <c r="U651" s="9"/>
      <c r="V651" s="74"/>
      <c r="W651" s="9"/>
      <c r="X651" s="74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316"/>
      <c r="AQ651" s="8"/>
    </row>
    <row r="652" spans="1:43" ht="15.4" hidden="1" customHeight="1" x14ac:dyDescent="0.25">
      <c r="A652" s="11">
        <f t="shared" si="6"/>
        <v>27</v>
      </c>
      <c r="B652" s="963"/>
      <c r="C652" s="989" t="s">
        <v>363</v>
      </c>
      <c r="D652" s="936" t="s">
        <v>660</v>
      </c>
      <c r="E652" s="1068">
        <v>0.7</v>
      </c>
      <c r="F652" s="1039">
        <v>12600</v>
      </c>
      <c r="G652" s="359"/>
      <c r="H652" s="359"/>
      <c r="I652" s="360"/>
      <c r="J652" s="525"/>
      <c r="K652" s="898"/>
      <c r="L652" s="1007"/>
      <c r="M652" s="27"/>
      <c r="N652" s="27"/>
      <c r="O652" s="361"/>
      <c r="P652" s="110"/>
      <c r="Q652" s="27"/>
      <c r="R652" s="540"/>
      <c r="S652" s="9"/>
      <c r="T652" s="9"/>
      <c r="U652" s="9"/>
      <c r="V652" s="74"/>
      <c r="W652" s="9"/>
      <c r="X652" s="74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316"/>
      <c r="AQ652" s="8"/>
    </row>
    <row r="653" spans="1:43" ht="29.65" hidden="1" customHeight="1" x14ac:dyDescent="0.25">
      <c r="A653" s="11">
        <f t="shared" si="6"/>
        <v>28</v>
      </c>
      <c r="B653" s="963"/>
      <c r="C653" s="989" t="s">
        <v>364</v>
      </c>
      <c r="D653" s="936" t="s">
        <v>661</v>
      </c>
      <c r="E653" s="1068">
        <v>11.2</v>
      </c>
      <c r="F653" s="1039">
        <v>55412</v>
      </c>
      <c r="G653" s="359"/>
      <c r="H653" s="359"/>
      <c r="I653" s="360"/>
      <c r="J653" s="525"/>
      <c r="K653" s="898"/>
      <c r="L653" s="1007"/>
      <c r="M653" s="27"/>
      <c r="N653" s="27"/>
      <c r="O653" s="361"/>
      <c r="P653" s="110"/>
      <c r="Q653" s="27"/>
      <c r="R653" s="540"/>
      <c r="S653" s="9"/>
      <c r="T653" s="9"/>
      <c r="U653" s="9"/>
      <c r="V653" s="74"/>
      <c r="W653" s="9"/>
      <c r="X653" s="74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316"/>
      <c r="AQ653" s="8"/>
    </row>
    <row r="654" spans="1:43" ht="16.7" hidden="1" customHeight="1" x14ac:dyDescent="0.25">
      <c r="A654" s="11">
        <f t="shared" si="6"/>
        <v>29</v>
      </c>
      <c r="B654" s="963"/>
      <c r="C654" s="989" t="s">
        <v>365</v>
      </c>
      <c r="D654" s="936" t="s">
        <v>662</v>
      </c>
      <c r="E654" s="1068">
        <v>8</v>
      </c>
      <c r="F654" s="1039">
        <v>59026</v>
      </c>
      <c r="G654" s="359"/>
      <c r="H654" s="359"/>
      <c r="I654" s="360"/>
      <c r="J654" s="525"/>
      <c r="K654" s="898"/>
      <c r="L654" s="1007"/>
      <c r="M654" s="27"/>
      <c r="N654" s="27"/>
      <c r="O654" s="361"/>
      <c r="P654" s="110"/>
      <c r="Q654" s="27"/>
      <c r="R654" s="540"/>
      <c r="S654" s="9"/>
      <c r="T654" s="9"/>
      <c r="U654" s="9"/>
      <c r="V654" s="74"/>
      <c r="W654" s="9"/>
      <c r="X654" s="74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316"/>
      <c r="AQ654" s="8"/>
    </row>
    <row r="655" spans="1:43" ht="14.1" hidden="1" customHeight="1" x14ac:dyDescent="0.25">
      <c r="A655" s="11">
        <f t="shared" si="6"/>
        <v>30</v>
      </c>
      <c r="B655" s="963"/>
      <c r="C655" s="989" t="s">
        <v>967</v>
      </c>
      <c r="D655" s="936" t="s">
        <v>663</v>
      </c>
      <c r="E655" s="1068">
        <v>1.96</v>
      </c>
      <c r="F655" s="1039">
        <v>14227</v>
      </c>
      <c r="G655" s="359"/>
      <c r="H655" s="359"/>
      <c r="I655" s="360"/>
      <c r="J655" s="525"/>
      <c r="K655" s="898"/>
      <c r="L655" s="1007"/>
      <c r="M655" s="27"/>
      <c r="N655" s="27"/>
      <c r="O655" s="361"/>
      <c r="P655" s="110"/>
      <c r="Q655" s="27"/>
      <c r="R655" s="540"/>
      <c r="S655" s="9"/>
      <c r="T655" s="9"/>
      <c r="U655" s="9"/>
      <c r="V655" s="74"/>
      <c r="W655" s="9"/>
      <c r="X655" s="74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316"/>
      <c r="AQ655" s="8"/>
    </row>
    <row r="656" spans="1:43" ht="16.7" hidden="1" customHeight="1" x14ac:dyDescent="0.25">
      <c r="A656" s="11">
        <f t="shared" si="6"/>
        <v>31</v>
      </c>
      <c r="B656" s="963"/>
      <c r="C656" s="989" t="s">
        <v>968</v>
      </c>
      <c r="D656" s="936" t="s">
        <v>664</v>
      </c>
      <c r="E656" s="1068">
        <v>2.14</v>
      </c>
      <c r="F656" s="1039">
        <v>18105</v>
      </c>
      <c r="G656" s="359"/>
      <c r="H656" s="359"/>
      <c r="I656" s="360"/>
      <c r="J656" s="525"/>
      <c r="K656" s="898"/>
      <c r="L656" s="1007"/>
      <c r="M656" s="27"/>
      <c r="N656" s="27"/>
      <c r="O656" s="361"/>
      <c r="P656" s="110"/>
      <c r="Q656" s="27"/>
      <c r="R656" s="540"/>
      <c r="S656" s="9"/>
      <c r="T656" s="9"/>
      <c r="U656" s="9"/>
      <c r="V656" s="74"/>
      <c r="W656" s="9"/>
      <c r="X656" s="74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316"/>
      <c r="AQ656" s="8"/>
    </row>
    <row r="657" spans="1:43" ht="16.7" hidden="1" customHeight="1" x14ac:dyDescent="0.25">
      <c r="A657" s="11">
        <f t="shared" si="6"/>
        <v>32</v>
      </c>
      <c r="B657" s="963"/>
      <c r="C657" s="989" t="s">
        <v>366</v>
      </c>
      <c r="D657" s="936" t="s">
        <v>665</v>
      </c>
      <c r="E657" s="1068">
        <v>2.9449999999999998</v>
      </c>
      <c r="F657" s="1039">
        <v>21958</v>
      </c>
      <c r="G657" s="359"/>
      <c r="H657" s="359"/>
      <c r="I657" s="360"/>
      <c r="J657" s="525"/>
      <c r="K657" s="898"/>
      <c r="L657" s="1007"/>
      <c r="M657" s="27"/>
      <c r="N657" s="27"/>
      <c r="O657" s="361"/>
      <c r="P657" s="110"/>
      <c r="Q657" s="27"/>
      <c r="R657" s="540"/>
      <c r="S657" s="9"/>
      <c r="T657" s="9"/>
      <c r="U657" s="9"/>
      <c r="V657" s="74"/>
      <c r="W657" s="9"/>
      <c r="X657" s="74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316"/>
      <c r="AQ657" s="8"/>
    </row>
    <row r="658" spans="1:43" ht="16.7" hidden="1" customHeight="1" x14ac:dyDescent="0.25">
      <c r="A658" s="11"/>
      <c r="B658" s="963"/>
      <c r="C658" s="46" t="s">
        <v>885</v>
      </c>
      <c r="D658" s="936"/>
      <c r="E658" s="1068"/>
      <c r="F658" s="1039"/>
      <c r="G658" s="359"/>
      <c r="H658" s="359"/>
      <c r="I658" s="360"/>
      <c r="J658" s="525"/>
      <c r="K658" s="898"/>
      <c r="L658" s="1007"/>
      <c r="M658" s="27"/>
      <c r="N658" s="27"/>
      <c r="O658" s="361"/>
      <c r="P658" s="110"/>
      <c r="Q658" s="27"/>
      <c r="R658" s="540"/>
      <c r="S658" s="9"/>
      <c r="T658" s="9"/>
      <c r="U658" s="9"/>
      <c r="V658" s="74"/>
      <c r="W658" s="9"/>
      <c r="X658" s="74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316"/>
      <c r="AQ658" s="8"/>
    </row>
    <row r="659" spans="1:43" ht="42.4" hidden="1" customHeight="1" x14ac:dyDescent="0.25">
      <c r="A659" s="11">
        <f>A657+1</f>
        <v>33</v>
      </c>
      <c r="B659" s="963"/>
      <c r="C659" s="989" t="s">
        <v>969</v>
      </c>
      <c r="D659" s="936" t="s">
        <v>666</v>
      </c>
      <c r="E659" s="1068">
        <v>2.31</v>
      </c>
      <c r="F659" s="1039">
        <v>12920</v>
      </c>
      <c r="G659" s="359"/>
      <c r="H659" s="359"/>
      <c r="I659" s="360"/>
      <c r="J659" s="525"/>
      <c r="K659" s="898"/>
      <c r="L659" s="1007"/>
      <c r="M659" s="27"/>
      <c r="N659" s="27"/>
      <c r="O659" s="361"/>
      <c r="P659" s="110"/>
      <c r="Q659" s="27"/>
      <c r="R659" s="540"/>
      <c r="S659" s="9"/>
      <c r="T659" s="9"/>
      <c r="U659" s="9"/>
      <c r="V659" s="74"/>
      <c r="W659" s="9"/>
      <c r="X659" s="74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316"/>
      <c r="AQ659" s="8"/>
    </row>
    <row r="660" spans="1:43" ht="16.7" hidden="1" customHeight="1" x14ac:dyDescent="0.25">
      <c r="A660" s="11">
        <f t="shared" si="6"/>
        <v>34</v>
      </c>
      <c r="B660" s="963"/>
      <c r="C660" s="989" t="s">
        <v>367</v>
      </c>
      <c r="D660" s="936" t="s">
        <v>667</v>
      </c>
      <c r="E660" s="1068">
        <v>2.5550000000000002</v>
      </c>
      <c r="F660" s="1039">
        <v>15282</v>
      </c>
      <c r="G660" s="359"/>
      <c r="H660" s="359"/>
      <c r="I660" s="360"/>
      <c r="J660" s="525"/>
      <c r="K660" s="898"/>
      <c r="L660" s="1007"/>
      <c r="M660" s="27"/>
      <c r="N660" s="27"/>
      <c r="O660" s="361"/>
      <c r="P660" s="110"/>
      <c r="Q660" s="27"/>
      <c r="R660" s="540"/>
      <c r="S660" s="9"/>
      <c r="T660" s="9"/>
      <c r="U660" s="9"/>
      <c r="V660" s="74"/>
      <c r="W660" s="9"/>
      <c r="X660" s="74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316"/>
      <c r="AQ660" s="8"/>
    </row>
    <row r="661" spans="1:43" ht="16.7" hidden="1" customHeight="1" x14ac:dyDescent="0.25">
      <c r="A661" s="11">
        <f t="shared" si="6"/>
        <v>35</v>
      </c>
      <c r="B661" s="963"/>
      <c r="C661" s="989" t="s">
        <v>368</v>
      </c>
      <c r="D661" s="936" t="s">
        <v>668</v>
      </c>
      <c r="E661" s="1068">
        <v>3.4</v>
      </c>
      <c r="F661" s="1039">
        <v>17488</v>
      </c>
      <c r="G661" s="359"/>
      <c r="H661" s="359"/>
      <c r="I661" s="360"/>
      <c r="J661" s="525"/>
      <c r="K661" s="898"/>
      <c r="L661" s="1007"/>
      <c r="M661" s="27"/>
      <c r="N661" s="27"/>
      <c r="O661" s="361"/>
      <c r="P661" s="110"/>
      <c r="Q661" s="27"/>
      <c r="R661" s="540"/>
      <c r="S661" s="9"/>
      <c r="T661" s="9"/>
      <c r="U661" s="9"/>
      <c r="V661" s="74"/>
      <c r="W661" s="9"/>
      <c r="X661" s="74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316"/>
      <c r="AQ661" s="8"/>
    </row>
    <row r="662" spans="1:43" ht="16.7" hidden="1" customHeight="1" x14ac:dyDescent="0.25">
      <c r="A662" s="11">
        <f t="shared" si="6"/>
        <v>36</v>
      </c>
      <c r="B662" s="963"/>
      <c r="C662" s="989" t="s">
        <v>369</v>
      </c>
      <c r="D662" s="936" t="s">
        <v>669</v>
      </c>
      <c r="E662" s="1068">
        <v>9.16</v>
      </c>
      <c r="F662" s="1039">
        <v>57540</v>
      </c>
      <c r="G662" s="359"/>
      <c r="H662" s="359"/>
      <c r="I662" s="360"/>
      <c r="J662" s="525"/>
      <c r="K662" s="898"/>
      <c r="L662" s="1007"/>
      <c r="M662" s="27"/>
      <c r="N662" s="27"/>
      <c r="O662" s="361"/>
      <c r="P662" s="110"/>
      <c r="Q662" s="27"/>
      <c r="R662" s="540"/>
      <c r="S662" s="9"/>
      <c r="T662" s="9"/>
      <c r="U662" s="9"/>
      <c r="V662" s="74"/>
      <c r="W662" s="9"/>
      <c r="X662" s="74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316"/>
      <c r="AQ662" s="8"/>
    </row>
    <row r="663" spans="1:43" ht="16.7" hidden="1" customHeight="1" x14ac:dyDescent="0.25">
      <c r="A663" s="11">
        <f t="shared" si="6"/>
        <v>37</v>
      </c>
      <c r="B663" s="963"/>
      <c r="C663" s="989" t="s">
        <v>370</v>
      </c>
      <c r="D663" s="936" t="s">
        <v>670</v>
      </c>
      <c r="E663" s="1068">
        <v>9.6</v>
      </c>
      <c r="F663" s="1039">
        <v>61688</v>
      </c>
      <c r="G663" s="359"/>
      <c r="H663" s="359"/>
      <c r="I663" s="360"/>
      <c r="J663" s="525"/>
      <c r="K663" s="898"/>
      <c r="L663" s="1007"/>
      <c r="M663" s="27"/>
      <c r="N663" s="27"/>
      <c r="O663" s="361"/>
      <c r="P663" s="110"/>
      <c r="Q663" s="27"/>
      <c r="R663" s="540"/>
      <c r="S663" s="9"/>
      <c r="T663" s="9"/>
      <c r="U663" s="9"/>
      <c r="V663" s="74"/>
      <c r="W663" s="9"/>
      <c r="X663" s="74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316"/>
      <c r="AQ663" s="8"/>
    </row>
    <row r="664" spans="1:43" ht="28.9" hidden="1" customHeight="1" x14ac:dyDescent="0.25">
      <c r="A664" s="11">
        <f t="shared" si="6"/>
        <v>38</v>
      </c>
      <c r="B664" s="963"/>
      <c r="C664" s="989" t="s">
        <v>371</v>
      </c>
      <c r="D664" s="936" t="s">
        <v>671</v>
      </c>
      <c r="E664" s="1068">
        <v>1</v>
      </c>
      <c r="F664" s="1039">
        <v>7613</v>
      </c>
      <c r="G664" s="359"/>
      <c r="H664" s="359"/>
      <c r="I664" s="360"/>
      <c r="J664" s="525"/>
      <c r="K664" s="898"/>
      <c r="L664" s="1007"/>
      <c r="M664" s="27"/>
      <c r="N664" s="27"/>
      <c r="O664" s="361"/>
      <c r="P664" s="110"/>
      <c r="Q664" s="27"/>
      <c r="R664" s="540"/>
      <c r="S664" s="9"/>
      <c r="T664" s="9"/>
      <c r="U664" s="9"/>
      <c r="V664" s="74"/>
      <c r="W664" s="9"/>
      <c r="X664" s="74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316"/>
      <c r="AQ664" s="8"/>
    </row>
    <row r="665" spans="1:43" ht="28.9" hidden="1" customHeight="1" x14ac:dyDescent="0.25">
      <c r="A665" s="156">
        <f t="shared" si="6"/>
        <v>39</v>
      </c>
      <c r="B665" s="892"/>
      <c r="C665" s="1004" t="s">
        <v>372</v>
      </c>
      <c r="D665" s="998" t="s">
        <v>672</v>
      </c>
      <c r="E665" s="1040">
        <v>2.36</v>
      </c>
      <c r="F665" s="1036">
        <v>15833</v>
      </c>
      <c r="G665" s="367"/>
      <c r="H665" s="367"/>
      <c r="I665" s="368"/>
      <c r="J665" s="160"/>
      <c r="K665" s="885"/>
      <c r="L665" s="385"/>
      <c r="M665" s="1127"/>
      <c r="N665" s="1127"/>
      <c r="O665" s="370"/>
      <c r="P665" s="201"/>
      <c r="Q665" s="1127"/>
      <c r="R665" s="660"/>
      <c r="S665" s="9"/>
      <c r="T665" s="9"/>
      <c r="U665" s="9"/>
      <c r="V665" s="74"/>
      <c r="W665" s="9"/>
      <c r="X665" s="74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316"/>
      <c r="AQ665" s="8"/>
    </row>
    <row r="666" spans="1:43" ht="22.15" customHeight="1" x14ac:dyDescent="0.25">
      <c r="A666" s="1331">
        <v>20</v>
      </c>
      <c r="B666" s="1319">
        <v>1960188</v>
      </c>
      <c r="C666" s="1185" t="s">
        <v>970</v>
      </c>
      <c r="D666" s="1315" t="s">
        <v>673</v>
      </c>
      <c r="E666" s="1169">
        <v>3</v>
      </c>
      <c r="F666" s="1529">
        <v>19276</v>
      </c>
      <c r="G666" s="1175" t="s">
        <v>1031</v>
      </c>
      <c r="H666" s="1175" t="s">
        <v>1150</v>
      </c>
      <c r="I666" s="1207" t="s">
        <v>7</v>
      </c>
      <c r="J666" s="1056"/>
      <c r="K666" s="162" t="s">
        <v>2</v>
      </c>
      <c r="L666" s="1705">
        <v>10085.184999999999</v>
      </c>
      <c r="M666" s="1175" t="s">
        <v>1031</v>
      </c>
      <c r="N666" s="1175" t="s">
        <v>1150</v>
      </c>
      <c r="O666" s="1207" t="s">
        <v>7</v>
      </c>
      <c r="P666" s="167">
        <v>3</v>
      </c>
      <c r="Q666" s="162" t="s">
        <v>2</v>
      </c>
      <c r="R666" s="1191">
        <f>21312.754-R668-R669</f>
        <v>20769.863000000001</v>
      </c>
      <c r="S666" s="178"/>
      <c r="T666" s="9"/>
      <c r="U666" s="9"/>
      <c r="V666" s="74"/>
      <c r="W666" s="9"/>
      <c r="X666" s="74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316"/>
      <c r="AQ666" s="8"/>
    </row>
    <row r="667" spans="1:43" ht="20.65" customHeight="1" x14ac:dyDescent="0.25">
      <c r="A667" s="1332"/>
      <c r="B667" s="1320"/>
      <c r="C667" s="1186"/>
      <c r="D667" s="1316"/>
      <c r="E667" s="1170"/>
      <c r="F667" s="1530"/>
      <c r="G667" s="1176"/>
      <c r="H667" s="1176"/>
      <c r="I667" s="1157"/>
      <c r="J667" s="1014"/>
      <c r="K667" s="318" t="s">
        <v>3</v>
      </c>
      <c r="L667" s="1706"/>
      <c r="M667" s="1176"/>
      <c r="N667" s="1176"/>
      <c r="O667" s="1157"/>
      <c r="P667" s="1061">
        <v>19227.400000000001</v>
      </c>
      <c r="Q667" s="318" t="s">
        <v>3</v>
      </c>
      <c r="R667" s="1192"/>
      <c r="S667" s="178"/>
      <c r="T667" s="9"/>
      <c r="U667" s="9"/>
      <c r="V667" s="74"/>
      <c r="W667" s="9"/>
      <c r="X667" s="74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316"/>
      <c r="AQ667" s="8"/>
    </row>
    <row r="668" spans="1:43" ht="20.65" customHeight="1" x14ac:dyDescent="0.25">
      <c r="A668" s="1332"/>
      <c r="B668" s="1320"/>
      <c r="C668" s="1186"/>
      <c r="D668" s="1316"/>
      <c r="E668" s="1170"/>
      <c r="F668" s="1530"/>
      <c r="G668" s="1176"/>
      <c r="H668" s="1176"/>
      <c r="I668" s="1053" t="s">
        <v>8</v>
      </c>
      <c r="J668" s="1042"/>
      <c r="K668" s="318" t="s">
        <v>2</v>
      </c>
      <c r="L668" s="67"/>
      <c r="M668" s="1176"/>
      <c r="N668" s="1176"/>
      <c r="O668" s="1053" t="s">
        <v>8</v>
      </c>
      <c r="P668" s="930">
        <v>5.8395999999999999</v>
      </c>
      <c r="Q668" s="318" t="s">
        <v>2</v>
      </c>
      <c r="R668" s="923">
        <v>105.07</v>
      </c>
      <c r="S668" s="178"/>
      <c r="T668" s="9"/>
      <c r="U668" s="9"/>
      <c r="V668" s="74"/>
      <c r="W668" s="9"/>
      <c r="X668" s="74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316"/>
      <c r="AQ668" s="8"/>
    </row>
    <row r="669" spans="1:43" ht="33" customHeight="1" thickBot="1" x14ac:dyDescent="0.3">
      <c r="A669" s="1333"/>
      <c r="B669" s="1321"/>
      <c r="C669" s="1318"/>
      <c r="D669" s="1317"/>
      <c r="E669" s="1171"/>
      <c r="F669" s="1531"/>
      <c r="G669" s="1177"/>
      <c r="H669" s="1177"/>
      <c r="I669" s="1113" t="s">
        <v>32</v>
      </c>
      <c r="J669" s="381"/>
      <c r="K669" s="169" t="s">
        <v>10</v>
      </c>
      <c r="L669" s="168"/>
      <c r="M669" s="1177"/>
      <c r="N669" s="1177"/>
      <c r="O669" s="891" t="s">
        <v>32</v>
      </c>
      <c r="P669" s="176">
        <v>64</v>
      </c>
      <c r="Q669" s="169" t="s">
        <v>10</v>
      </c>
      <c r="R669" s="861">
        <v>437.82100000000003</v>
      </c>
      <c r="S669" s="178"/>
      <c r="T669" s="9"/>
      <c r="U669" s="9"/>
      <c r="V669" s="74"/>
      <c r="W669" s="9"/>
      <c r="X669" s="74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316"/>
      <c r="AQ669" s="8"/>
    </row>
    <row r="670" spans="1:43" ht="17.649999999999999" hidden="1" customHeight="1" x14ac:dyDescent="0.25">
      <c r="A670" s="61">
        <f>A666+1</f>
        <v>21</v>
      </c>
      <c r="B670" s="893"/>
      <c r="C670" s="996" t="s">
        <v>971</v>
      </c>
      <c r="D670" s="936" t="s">
        <v>674</v>
      </c>
      <c r="E670" s="991">
        <v>3.2</v>
      </c>
      <c r="F670" s="1037">
        <v>21484</v>
      </c>
      <c r="G670" s="369"/>
      <c r="H670" s="369"/>
      <c r="I670" s="360"/>
      <c r="J670" s="154"/>
      <c r="K670" s="898"/>
      <c r="L670" s="384"/>
      <c r="M670" s="1128"/>
      <c r="N670" s="1128"/>
      <c r="O670" s="372"/>
      <c r="P670" s="202"/>
      <c r="Q670" s="1128"/>
      <c r="R670" s="661"/>
      <c r="S670" s="9"/>
      <c r="T670" s="9"/>
      <c r="U670" s="9"/>
      <c r="V670" s="74"/>
      <c r="W670" s="9"/>
      <c r="X670" s="74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316"/>
      <c r="AQ670" s="8"/>
    </row>
    <row r="671" spans="1:43" ht="31.15" hidden="1" customHeight="1" x14ac:dyDescent="0.25">
      <c r="A671" s="11">
        <f t="shared" si="6"/>
        <v>22</v>
      </c>
      <c r="B671" s="963"/>
      <c r="C671" s="989" t="s">
        <v>373</v>
      </c>
      <c r="D671" s="936" t="s">
        <v>675</v>
      </c>
      <c r="E671" s="1068">
        <v>0.62</v>
      </c>
      <c r="F671" s="1039">
        <v>4500</v>
      </c>
      <c r="G671" s="359"/>
      <c r="H671" s="359"/>
      <c r="I671" s="360"/>
      <c r="J671" s="525"/>
      <c r="K671" s="898"/>
      <c r="L671" s="1007"/>
      <c r="M671" s="27"/>
      <c r="N671" s="27"/>
      <c r="O671" s="361"/>
      <c r="P671" s="110"/>
      <c r="Q671" s="27"/>
      <c r="R671" s="540"/>
      <c r="S671" s="9"/>
      <c r="T671" s="9"/>
      <c r="U671" s="9"/>
      <c r="V671" s="74"/>
      <c r="W671" s="9"/>
      <c r="X671" s="74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316"/>
      <c r="AQ671" s="8"/>
    </row>
    <row r="672" spans="1:43" ht="16.7" hidden="1" customHeight="1" x14ac:dyDescent="0.25">
      <c r="A672" s="11">
        <f t="shared" si="6"/>
        <v>23</v>
      </c>
      <c r="B672" s="963"/>
      <c r="C672" s="989" t="s">
        <v>374</v>
      </c>
      <c r="D672" s="936" t="s">
        <v>676</v>
      </c>
      <c r="E672" s="1068">
        <v>10.76</v>
      </c>
      <c r="F672" s="1039">
        <v>75270</v>
      </c>
      <c r="G672" s="359"/>
      <c r="H672" s="359"/>
      <c r="I672" s="360"/>
      <c r="J672" s="525"/>
      <c r="K672" s="898"/>
      <c r="L672" s="1007"/>
      <c r="M672" s="27"/>
      <c r="N672" s="27"/>
      <c r="O672" s="361"/>
      <c r="P672" s="110"/>
      <c r="Q672" s="27"/>
      <c r="R672" s="540"/>
      <c r="S672" s="9"/>
      <c r="T672" s="9"/>
      <c r="U672" s="9"/>
      <c r="V672" s="74"/>
      <c r="W672" s="9"/>
      <c r="X672" s="74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316"/>
      <c r="AQ672" s="8"/>
    </row>
    <row r="673" spans="1:43" ht="27.6" hidden="1" customHeight="1" x14ac:dyDescent="0.25">
      <c r="A673" s="11">
        <f t="shared" si="6"/>
        <v>24</v>
      </c>
      <c r="B673" s="963"/>
      <c r="C673" s="989" t="s">
        <v>375</v>
      </c>
      <c r="D673" s="936" t="s">
        <v>677</v>
      </c>
      <c r="E673" s="1068">
        <v>11.68</v>
      </c>
      <c r="F673" s="1039">
        <v>83193</v>
      </c>
      <c r="G673" s="359"/>
      <c r="H673" s="359"/>
      <c r="I673" s="360"/>
      <c r="J673" s="525"/>
      <c r="K673" s="898"/>
      <c r="L673" s="1007"/>
      <c r="M673" s="27"/>
      <c r="N673" s="27"/>
      <c r="O673" s="361"/>
      <c r="P673" s="110"/>
      <c r="Q673" s="27"/>
      <c r="R673" s="540"/>
      <c r="S673" s="9"/>
      <c r="T673" s="9"/>
      <c r="U673" s="9"/>
      <c r="V673" s="74"/>
      <c r="W673" s="9"/>
      <c r="X673" s="74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316"/>
      <c r="AQ673" s="8"/>
    </row>
    <row r="674" spans="1:43" ht="17.649999999999999" hidden="1" customHeight="1" x14ac:dyDescent="0.25">
      <c r="A674" s="11">
        <f t="shared" si="6"/>
        <v>25</v>
      </c>
      <c r="B674" s="963"/>
      <c r="C674" s="989" t="s">
        <v>376</v>
      </c>
      <c r="D674" s="936" t="s">
        <v>678</v>
      </c>
      <c r="E674" s="1068">
        <v>3.29</v>
      </c>
      <c r="F674" s="1039">
        <v>17372</v>
      </c>
      <c r="G674" s="359"/>
      <c r="H674" s="359"/>
      <c r="I674" s="360"/>
      <c r="J674" s="525"/>
      <c r="K674" s="898"/>
      <c r="L674" s="1007"/>
      <c r="M674" s="27"/>
      <c r="N674" s="27"/>
      <c r="O674" s="361"/>
      <c r="P674" s="110"/>
      <c r="Q674" s="27"/>
      <c r="R674" s="540"/>
      <c r="S674" s="9"/>
      <c r="T674" s="9"/>
      <c r="U674" s="9"/>
      <c r="V674" s="74"/>
      <c r="W674" s="9"/>
      <c r="X674" s="74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316"/>
      <c r="AQ674" s="8"/>
    </row>
    <row r="675" spans="1:43" ht="28.9" hidden="1" customHeight="1" x14ac:dyDescent="0.25">
      <c r="A675" s="11">
        <f t="shared" si="6"/>
        <v>26</v>
      </c>
      <c r="B675" s="963"/>
      <c r="C675" s="989" t="s">
        <v>377</v>
      </c>
      <c r="D675" s="936" t="s">
        <v>679</v>
      </c>
      <c r="E675" s="1068">
        <v>1.39</v>
      </c>
      <c r="F675" s="1039">
        <v>9723</v>
      </c>
      <c r="G675" s="359"/>
      <c r="H675" s="359"/>
      <c r="I675" s="360"/>
      <c r="J675" s="525"/>
      <c r="K675" s="898"/>
      <c r="L675" s="1007"/>
      <c r="M675" s="27"/>
      <c r="N675" s="27"/>
      <c r="O675" s="361"/>
      <c r="P675" s="110"/>
      <c r="Q675" s="27"/>
      <c r="R675" s="540"/>
      <c r="S675" s="9"/>
      <c r="T675" s="9"/>
      <c r="U675" s="9"/>
      <c r="V675" s="74"/>
      <c r="W675" s="9"/>
      <c r="X675" s="74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316"/>
      <c r="AQ675" s="8"/>
    </row>
    <row r="676" spans="1:43" ht="15.4" hidden="1" customHeight="1" x14ac:dyDescent="0.25">
      <c r="A676" s="11">
        <f t="shared" si="6"/>
        <v>27</v>
      </c>
      <c r="B676" s="963"/>
      <c r="C676" s="989" t="s">
        <v>378</v>
      </c>
      <c r="D676" s="936" t="s">
        <v>680</v>
      </c>
      <c r="E676" s="1068">
        <v>3.88</v>
      </c>
      <c r="F676" s="1039">
        <v>25078</v>
      </c>
      <c r="G676" s="359"/>
      <c r="H676" s="359"/>
      <c r="I676" s="360"/>
      <c r="J676" s="525"/>
      <c r="K676" s="898"/>
      <c r="L676" s="1007"/>
      <c r="M676" s="27"/>
      <c r="N676" s="27"/>
      <c r="O676" s="361"/>
      <c r="P676" s="110"/>
      <c r="Q676" s="27"/>
      <c r="R676" s="540"/>
      <c r="S676" s="9"/>
      <c r="T676" s="9"/>
      <c r="U676" s="9"/>
      <c r="V676" s="74"/>
      <c r="W676" s="9"/>
      <c r="X676" s="74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316"/>
      <c r="AQ676" s="8"/>
    </row>
    <row r="677" spans="1:43" ht="13.5" hidden="1" customHeight="1" x14ac:dyDescent="0.25">
      <c r="A677" s="11">
        <f t="shared" si="6"/>
        <v>28</v>
      </c>
      <c r="B677" s="963"/>
      <c r="C677" s="989" t="s">
        <v>379</v>
      </c>
      <c r="D677" s="936" t="s">
        <v>681</v>
      </c>
      <c r="E677" s="1068">
        <v>3.8540000000000001</v>
      </c>
      <c r="F677" s="1039">
        <v>18403</v>
      </c>
      <c r="G677" s="359"/>
      <c r="H677" s="359"/>
      <c r="I677" s="360"/>
      <c r="J677" s="525"/>
      <c r="K677" s="898"/>
      <c r="L677" s="1007"/>
      <c r="M677" s="27"/>
      <c r="N677" s="27"/>
      <c r="O677" s="361"/>
      <c r="P677" s="110"/>
      <c r="Q677" s="27"/>
      <c r="R677" s="540"/>
      <c r="S677" s="9"/>
      <c r="T677" s="9"/>
      <c r="U677" s="9"/>
      <c r="V677" s="74"/>
      <c r="W677" s="9"/>
      <c r="X677" s="74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316"/>
      <c r="AQ677" s="8"/>
    </row>
    <row r="678" spans="1:43" ht="31.15" hidden="1" customHeight="1" x14ac:dyDescent="0.25">
      <c r="A678" s="11">
        <f t="shared" si="6"/>
        <v>29</v>
      </c>
      <c r="B678" s="963"/>
      <c r="C678" s="989" t="s">
        <v>380</v>
      </c>
      <c r="D678" s="936" t="s">
        <v>682</v>
      </c>
      <c r="E678" s="1068">
        <v>3.1</v>
      </c>
      <c r="F678" s="1039">
        <v>17390</v>
      </c>
      <c r="G678" s="359"/>
      <c r="H678" s="359"/>
      <c r="I678" s="360"/>
      <c r="J678" s="525"/>
      <c r="K678" s="898"/>
      <c r="L678" s="1007"/>
      <c r="M678" s="27"/>
      <c r="N678" s="27"/>
      <c r="O678" s="361"/>
      <c r="P678" s="110"/>
      <c r="Q678" s="27"/>
      <c r="R678" s="540"/>
      <c r="S678" s="9"/>
      <c r="T678" s="9"/>
      <c r="U678" s="9"/>
      <c r="V678" s="74"/>
      <c r="W678" s="9"/>
      <c r="X678" s="74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316"/>
      <c r="AQ678" s="8"/>
    </row>
    <row r="679" spans="1:43" ht="31.15" hidden="1" customHeight="1" x14ac:dyDescent="0.25">
      <c r="A679" s="11">
        <f t="shared" si="6"/>
        <v>30</v>
      </c>
      <c r="B679" s="963"/>
      <c r="C679" s="989" t="s">
        <v>381</v>
      </c>
      <c r="D679" s="936" t="s">
        <v>683</v>
      </c>
      <c r="E679" s="1068">
        <v>10.3</v>
      </c>
      <c r="F679" s="1039">
        <v>61127</v>
      </c>
      <c r="G679" s="359"/>
      <c r="H679" s="359"/>
      <c r="I679" s="360"/>
      <c r="J679" s="525"/>
      <c r="K679" s="898"/>
      <c r="L679" s="1007"/>
      <c r="M679" s="27"/>
      <c r="N679" s="27"/>
      <c r="O679" s="361"/>
      <c r="P679" s="110"/>
      <c r="Q679" s="27"/>
      <c r="R679" s="540"/>
      <c r="S679" s="9"/>
      <c r="T679" s="9"/>
      <c r="U679" s="9"/>
      <c r="V679" s="74"/>
      <c r="W679" s="9"/>
      <c r="X679" s="74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316"/>
      <c r="AQ679" s="8"/>
    </row>
    <row r="680" spans="1:43" ht="31.15" hidden="1" customHeight="1" x14ac:dyDescent="0.25">
      <c r="A680" s="11">
        <f t="shared" ref="A680:A746" si="7">A679+1</f>
        <v>31</v>
      </c>
      <c r="B680" s="963"/>
      <c r="C680" s="989" t="s">
        <v>382</v>
      </c>
      <c r="D680" s="936" t="s">
        <v>684</v>
      </c>
      <c r="E680" s="1068">
        <v>5.2</v>
      </c>
      <c r="F680" s="1039">
        <v>33914</v>
      </c>
      <c r="G680" s="359"/>
      <c r="H680" s="359"/>
      <c r="I680" s="360"/>
      <c r="J680" s="525"/>
      <c r="K680" s="898"/>
      <c r="L680" s="1007"/>
      <c r="M680" s="27"/>
      <c r="N680" s="27"/>
      <c r="O680" s="361"/>
      <c r="P680" s="110"/>
      <c r="Q680" s="27"/>
      <c r="R680" s="540"/>
      <c r="S680" s="9"/>
      <c r="T680" s="9"/>
      <c r="U680" s="9"/>
      <c r="V680" s="74"/>
      <c r="W680" s="9"/>
      <c r="X680" s="74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316"/>
      <c r="AQ680" s="8"/>
    </row>
    <row r="681" spans="1:43" ht="18" hidden="1" customHeight="1" x14ac:dyDescent="0.25">
      <c r="A681" s="11">
        <f t="shared" si="7"/>
        <v>32</v>
      </c>
      <c r="B681" s="963"/>
      <c r="C681" s="989" t="s">
        <v>383</v>
      </c>
      <c r="D681" s="936" t="s">
        <v>685</v>
      </c>
      <c r="E681" s="1068">
        <v>2.1</v>
      </c>
      <c r="F681" s="1039">
        <v>14526</v>
      </c>
      <c r="G681" s="359"/>
      <c r="H681" s="359"/>
      <c r="I681" s="360"/>
      <c r="J681" s="525"/>
      <c r="K681" s="898"/>
      <c r="L681" s="1007"/>
      <c r="M681" s="27"/>
      <c r="N681" s="27"/>
      <c r="O681" s="361"/>
      <c r="P681" s="110"/>
      <c r="Q681" s="27"/>
      <c r="R681" s="540"/>
      <c r="S681" s="9"/>
      <c r="T681" s="9"/>
      <c r="U681" s="9"/>
      <c r="V681" s="74"/>
      <c r="W681" s="9"/>
      <c r="X681" s="74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316"/>
      <c r="AQ681" s="8"/>
    </row>
    <row r="682" spans="1:43" ht="16.149999999999999" hidden="1" customHeight="1" x14ac:dyDescent="0.25">
      <c r="A682" s="11">
        <f t="shared" si="7"/>
        <v>33</v>
      </c>
      <c r="B682" s="963"/>
      <c r="C682" s="989" t="s">
        <v>972</v>
      </c>
      <c r="D682" s="936" t="s">
        <v>686</v>
      </c>
      <c r="E682" s="1068">
        <v>3.3</v>
      </c>
      <c r="F682" s="1039">
        <v>18646</v>
      </c>
      <c r="G682" s="359"/>
      <c r="H682" s="359"/>
      <c r="I682" s="360"/>
      <c r="J682" s="525"/>
      <c r="K682" s="898"/>
      <c r="L682" s="1007"/>
      <c r="M682" s="27"/>
      <c r="N682" s="27"/>
      <c r="O682" s="361"/>
      <c r="P682" s="110"/>
      <c r="Q682" s="27"/>
      <c r="R682" s="540"/>
      <c r="S682" s="9"/>
      <c r="T682" s="9"/>
      <c r="U682" s="9"/>
      <c r="V682" s="74"/>
      <c r="W682" s="9"/>
      <c r="X682" s="74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316"/>
      <c r="AQ682" s="8"/>
    </row>
    <row r="683" spans="1:43" ht="30.2" hidden="1" customHeight="1" x14ac:dyDescent="0.25">
      <c r="A683" s="11">
        <f t="shared" si="7"/>
        <v>34</v>
      </c>
      <c r="B683" s="963"/>
      <c r="C683" s="989" t="s">
        <v>384</v>
      </c>
      <c r="D683" s="936" t="s">
        <v>687</v>
      </c>
      <c r="E683" s="1068">
        <v>8.49</v>
      </c>
      <c r="F683" s="1039">
        <v>58081</v>
      </c>
      <c r="G683" s="359"/>
      <c r="H683" s="359"/>
      <c r="I683" s="360"/>
      <c r="J683" s="525"/>
      <c r="K683" s="898"/>
      <c r="L683" s="1007"/>
      <c r="M683" s="27"/>
      <c r="N683" s="27"/>
      <c r="O683" s="361"/>
      <c r="P683" s="110"/>
      <c r="Q683" s="27"/>
      <c r="R683" s="540"/>
      <c r="S683" s="9"/>
      <c r="T683" s="9"/>
      <c r="U683" s="9"/>
      <c r="V683" s="74"/>
      <c r="W683" s="9"/>
      <c r="X683" s="74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316"/>
      <c r="AQ683" s="8"/>
    </row>
    <row r="684" spans="1:43" ht="16.149999999999999" hidden="1" customHeight="1" x14ac:dyDescent="0.25">
      <c r="A684" s="11">
        <f t="shared" si="7"/>
        <v>35</v>
      </c>
      <c r="B684" s="963"/>
      <c r="C684" s="989" t="s">
        <v>385</v>
      </c>
      <c r="D684" s="936" t="s">
        <v>688</v>
      </c>
      <c r="E684" s="1068">
        <v>6.85</v>
      </c>
      <c r="F684" s="1039">
        <v>43215</v>
      </c>
      <c r="G684" s="359"/>
      <c r="H684" s="359"/>
      <c r="I684" s="360"/>
      <c r="J684" s="525"/>
      <c r="K684" s="898"/>
      <c r="L684" s="1007"/>
      <c r="M684" s="27"/>
      <c r="N684" s="27"/>
      <c r="O684" s="361"/>
      <c r="P684" s="110"/>
      <c r="Q684" s="27"/>
      <c r="R684" s="540"/>
      <c r="S684" s="9"/>
      <c r="T684" s="9"/>
      <c r="U684" s="9"/>
      <c r="V684" s="74"/>
      <c r="W684" s="9"/>
      <c r="X684" s="74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316"/>
      <c r="AQ684" s="8"/>
    </row>
    <row r="685" spans="1:43" ht="14.85" hidden="1" customHeight="1" x14ac:dyDescent="0.25">
      <c r="A685" s="11">
        <f t="shared" si="7"/>
        <v>36</v>
      </c>
      <c r="B685" s="963"/>
      <c r="C685" s="989" t="s">
        <v>386</v>
      </c>
      <c r="D685" s="936" t="s">
        <v>689</v>
      </c>
      <c r="E685" s="1068">
        <v>2.2000000000000002</v>
      </c>
      <c r="F685" s="1039">
        <v>7322</v>
      </c>
      <c r="G685" s="359"/>
      <c r="H685" s="359"/>
      <c r="I685" s="360"/>
      <c r="J685" s="525"/>
      <c r="K685" s="898"/>
      <c r="L685" s="1007"/>
      <c r="M685" s="27"/>
      <c r="N685" s="27"/>
      <c r="O685" s="361"/>
      <c r="P685" s="110"/>
      <c r="Q685" s="27"/>
      <c r="R685" s="540"/>
      <c r="S685" s="9"/>
      <c r="T685" s="9"/>
      <c r="U685" s="9"/>
      <c r="V685" s="74"/>
      <c r="W685" s="9"/>
      <c r="X685" s="74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316"/>
      <c r="AQ685" s="8"/>
    </row>
    <row r="686" spans="1:43" ht="16.7" hidden="1" customHeight="1" x14ac:dyDescent="0.25">
      <c r="A686" s="11">
        <f t="shared" si="7"/>
        <v>37</v>
      </c>
      <c r="B686" s="963"/>
      <c r="C686" s="989" t="s">
        <v>387</v>
      </c>
      <c r="D686" s="936" t="s">
        <v>690</v>
      </c>
      <c r="E686" s="1068">
        <v>2.0489999999999999</v>
      </c>
      <c r="F686" s="1039">
        <v>8418</v>
      </c>
      <c r="G686" s="359"/>
      <c r="H686" s="359"/>
      <c r="I686" s="360"/>
      <c r="J686" s="525"/>
      <c r="K686" s="898"/>
      <c r="L686" s="1007"/>
      <c r="M686" s="27"/>
      <c r="N686" s="27"/>
      <c r="O686" s="361"/>
      <c r="P686" s="110"/>
      <c r="Q686" s="27"/>
      <c r="R686" s="540"/>
      <c r="S686" s="9"/>
      <c r="T686" s="9"/>
      <c r="U686" s="9"/>
      <c r="V686" s="74"/>
      <c r="W686" s="9"/>
      <c r="X686" s="74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316"/>
      <c r="AQ686" s="8"/>
    </row>
    <row r="687" spans="1:43" ht="16.7" hidden="1" customHeight="1" x14ac:dyDescent="0.25">
      <c r="A687" s="11"/>
      <c r="B687" s="963"/>
      <c r="C687" s="46" t="s">
        <v>886</v>
      </c>
      <c r="D687" s="936"/>
      <c r="E687" s="1068"/>
      <c r="F687" s="1039"/>
      <c r="G687" s="359"/>
      <c r="H687" s="359"/>
      <c r="I687" s="360"/>
      <c r="J687" s="525"/>
      <c r="K687" s="898"/>
      <c r="L687" s="1007"/>
      <c r="M687" s="27"/>
      <c r="N687" s="27"/>
      <c r="O687" s="361"/>
      <c r="P687" s="110"/>
      <c r="Q687" s="27"/>
      <c r="R687" s="540"/>
      <c r="S687" s="9"/>
      <c r="T687" s="9"/>
      <c r="U687" s="9"/>
      <c r="V687" s="74"/>
      <c r="W687" s="9"/>
      <c r="X687" s="74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316"/>
      <c r="AQ687" s="8"/>
    </row>
    <row r="688" spans="1:43" ht="28.35" hidden="1" customHeight="1" x14ac:dyDescent="0.25">
      <c r="A688" s="11">
        <f>A686+1</f>
        <v>38</v>
      </c>
      <c r="B688" s="963"/>
      <c r="C688" s="989" t="s">
        <v>388</v>
      </c>
      <c r="D688" s="936" t="s">
        <v>691</v>
      </c>
      <c r="E688" s="1068">
        <v>1.74</v>
      </c>
      <c r="F688" s="1039">
        <v>11767</v>
      </c>
      <c r="G688" s="359"/>
      <c r="H688" s="359"/>
      <c r="I688" s="360"/>
      <c r="J688" s="525"/>
      <c r="K688" s="898"/>
      <c r="L688" s="1007"/>
      <c r="M688" s="27"/>
      <c r="N688" s="27"/>
      <c r="O688" s="361"/>
      <c r="P688" s="110"/>
      <c r="Q688" s="27"/>
      <c r="R688" s="540"/>
      <c r="S688" s="9"/>
      <c r="T688" s="9"/>
      <c r="U688" s="9"/>
      <c r="V688" s="74"/>
      <c r="W688" s="9"/>
      <c r="X688" s="74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316"/>
      <c r="AQ688" s="8"/>
    </row>
    <row r="689" spans="1:43" ht="28.35" hidden="1" customHeight="1" x14ac:dyDescent="0.25">
      <c r="A689" s="11" t="e">
        <f>#REF!+1</f>
        <v>#REF!</v>
      </c>
      <c r="B689" s="963"/>
      <c r="C689" s="989" t="s">
        <v>390</v>
      </c>
      <c r="D689" s="936" t="s">
        <v>693</v>
      </c>
      <c r="E689" s="1040">
        <v>1.7</v>
      </c>
      <c r="F689" s="1036">
        <v>14217</v>
      </c>
      <c r="G689" s="359"/>
      <c r="H689" s="359"/>
      <c r="I689" s="360"/>
      <c r="J689" s="525"/>
      <c r="K689" s="898"/>
      <c r="L689" s="1007"/>
      <c r="M689" s="27"/>
      <c r="N689" s="27"/>
      <c r="O689" s="361"/>
      <c r="P689" s="110"/>
      <c r="Q689" s="27"/>
      <c r="R689" s="540"/>
      <c r="S689" s="9"/>
      <c r="T689" s="9"/>
      <c r="U689" s="9"/>
      <c r="V689" s="74"/>
      <c r="W689" s="9"/>
      <c r="X689" s="106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316"/>
      <c r="AQ689" s="8"/>
    </row>
    <row r="690" spans="1:43" ht="28.35" hidden="1" customHeight="1" x14ac:dyDescent="0.25">
      <c r="A690" s="11" t="e">
        <f t="shared" si="7"/>
        <v>#REF!</v>
      </c>
      <c r="B690" s="963"/>
      <c r="C690" s="989" t="s">
        <v>391</v>
      </c>
      <c r="D690" s="936" t="s">
        <v>694</v>
      </c>
      <c r="E690" s="1068">
        <v>2.3620000000000001</v>
      </c>
      <c r="F690" s="1039">
        <v>15684</v>
      </c>
      <c r="G690" s="359"/>
      <c r="H690" s="359"/>
      <c r="I690" s="360"/>
      <c r="J690" s="525"/>
      <c r="K690" s="898"/>
      <c r="L690" s="1007"/>
      <c r="M690" s="27"/>
      <c r="N690" s="27"/>
      <c r="O690" s="361"/>
      <c r="P690" s="110"/>
      <c r="Q690" s="27"/>
      <c r="R690" s="540"/>
      <c r="S690" s="9"/>
      <c r="T690" s="9"/>
      <c r="U690" s="9"/>
      <c r="V690" s="74"/>
      <c r="W690" s="9"/>
      <c r="X690" s="106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316"/>
      <c r="AQ690" s="8"/>
    </row>
    <row r="691" spans="1:43" ht="28.35" hidden="1" customHeight="1" x14ac:dyDescent="0.25">
      <c r="A691" s="11" t="e">
        <f t="shared" si="7"/>
        <v>#REF!</v>
      </c>
      <c r="B691" s="963"/>
      <c r="C691" s="989" t="s">
        <v>392</v>
      </c>
      <c r="D691" s="936" t="s">
        <v>695</v>
      </c>
      <c r="E691" s="1068">
        <f>6.84+0.45</f>
        <v>7.29</v>
      </c>
      <c r="F691" s="1039">
        <f>59624+2880</f>
        <v>62504</v>
      </c>
      <c r="G691" s="359"/>
      <c r="H691" s="359"/>
      <c r="I691" s="360"/>
      <c r="J691" s="525"/>
      <c r="K691" s="898"/>
      <c r="L691" s="1007"/>
      <c r="M691" s="27"/>
      <c r="N691" s="27"/>
      <c r="O691" s="361"/>
      <c r="P691" s="110"/>
      <c r="Q691" s="27"/>
      <c r="R691" s="540"/>
      <c r="S691" s="9"/>
      <c r="T691" s="9"/>
      <c r="U691" s="9"/>
      <c r="V691" s="74"/>
      <c r="W691" s="9"/>
      <c r="X691" s="106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316"/>
      <c r="AQ691" s="8"/>
    </row>
    <row r="692" spans="1:43" ht="18.600000000000001" hidden="1" customHeight="1" x14ac:dyDescent="0.25">
      <c r="A692" s="11" t="e">
        <f t="shared" si="7"/>
        <v>#REF!</v>
      </c>
      <c r="B692" s="963"/>
      <c r="C692" s="989" t="s">
        <v>973</v>
      </c>
      <c r="D692" s="936" t="s">
        <v>696</v>
      </c>
      <c r="E692" s="1068">
        <v>2.4750000000000001</v>
      </c>
      <c r="F692" s="1039">
        <v>13101</v>
      </c>
      <c r="G692" s="359"/>
      <c r="H692" s="359"/>
      <c r="I692" s="360"/>
      <c r="J692" s="525"/>
      <c r="K692" s="898"/>
      <c r="L692" s="1007"/>
      <c r="M692" s="27"/>
      <c r="N692" s="27"/>
      <c r="O692" s="361"/>
      <c r="P692" s="110"/>
      <c r="Q692" s="27"/>
      <c r="R692" s="540"/>
      <c r="S692" s="9"/>
      <c r="T692" s="9"/>
      <c r="U692" s="9"/>
      <c r="V692" s="74"/>
      <c r="W692" s="9"/>
      <c r="X692" s="106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316"/>
      <c r="AQ692" s="8"/>
    </row>
    <row r="693" spans="1:43" ht="14.1" hidden="1" customHeight="1" x14ac:dyDescent="0.25">
      <c r="A693" s="11" t="e">
        <f t="shared" si="7"/>
        <v>#REF!</v>
      </c>
      <c r="B693" s="963"/>
      <c r="C693" s="989" t="s">
        <v>974</v>
      </c>
      <c r="D693" s="936" t="s">
        <v>697</v>
      </c>
      <c r="E693" s="1068">
        <v>7.48</v>
      </c>
      <c r="F693" s="1039">
        <v>47795</v>
      </c>
      <c r="G693" s="359"/>
      <c r="H693" s="359"/>
      <c r="I693" s="360"/>
      <c r="J693" s="525"/>
      <c r="K693" s="898"/>
      <c r="L693" s="1007"/>
      <c r="M693" s="27"/>
      <c r="N693" s="27"/>
      <c r="O693" s="361"/>
      <c r="P693" s="110"/>
      <c r="Q693" s="27"/>
      <c r="R693" s="540"/>
      <c r="S693" s="9"/>
      <c r="T693" s="9"/>
      <c r="U693" s="9"/>
      <c r="V693" s="74"/>
      <c r="W693" s="9"/>
      <c r="X693" s="106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316"/>
      <c r="AQ693" s="8"/>
    </row>
    <row r="694" spans="1:43" ht="21.2" hidden="1" customHeight="1" x14ac:dyDescent="0.25">
      <c r="A694" s="11" t="e">
        <f>#REF!+1</f>
        <v>#REF!</v>
      </c>
      <c r="B694" s="963"/>
      <c r="C694" s="989" t="s">
        <v>976</v>
      </c>
      <c r="D694" s="936" t="s">
        <v>699</v>
      </c>
      <c r="E694" s="1068">
        <v>2.0270000000000001</v>
      </c>
      <c r="F694" s="1039">
        <v>12802</v>
      </c>
      <c r="G694" s="359"/>
      <c r="H694" s="359"/>
      <c r="I694" s="360"/>
      <c r="J694" s="525"/>
      <c r="K694" s="898"/>
      <c r="L694" s="1007"/>
      <c r="M694" s="27"/>
      <c r="N694" s="27"/>
      <c r="O694" s="361"/>
      <c r="P694" s="110"/>
      <c r="Q694" s="27"/>
      <c r="R694" s="540"/>
      <c r="S694" s="9"/>
      <c r="T694" s="9"/>
      <c r="U694" s="9"/>
      <c r="V694" s="74"/>
      <c r="W694" s="9"/>
      <c r="X694" s="74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316"/>
      <c r="AQ694" s="8"/>
    </row>
    <row r="695" spans="1:43" ht="19.350000000000001" hidden="1" customHeight="1" x14ac:dyDescent="0.25">
      <c r="A695" s="11" t="e">
        <f>#REF!+1</f>
        <v>#REF!</v>
      </c>
      <c r="B695" s="963"/>
      <c r="C695" s="989" t="s">
        <v>978</v>
      </c>
      <c r="D695" s="936" t="s">
        <v>700</v>
      </c>
      <c r="E695" s="1068">
        <v>4.2359999999999998</v>
      </c>
      <c r="F695" s="1039">
        <v>21423</v>
      </c>
      <c r="G695" s="359"/>
      <c r="H695" s="359"/>
      <c r="I695" s="360"/>
      <c r="J695" s="525"/>
      <c r="K695" s="898"/>
      <c r="L695" s="1007"/>
      <c r="M695" s="27"/>
      <c r="N695" s="27"/>
      <c r="O695" s="361"/>
      <c r="P695" s="110"/>
      <c r="Q695" s="27"/>
      <c r="R695" s="540"/>
      <c r="S695" s="9"/>
      <c r="T695" s="9"/>
      <c r="U695" s="9"/>
      <c r="V695" s="74"/>
      <c r="W695" s="9"/>
      <c r="X695" s="74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316"/>
      <c r="AQ695" s="8"/>
    </row>
    <row r="696" spans="1:43" ht="19.899999999999999" hidden="1" customHeight="1" x14ac:dyDescent="0.25">
      <c r="A696" s="11" t="e">
        <f t="shared" si="7"/>
        <v>#REF!</v>
      </c>
      <c r="B696" s="963"/>
      <c r="C696" s="989" t="s">
        <v>979</v>
      </c>
      <c r="D696" s="936" t="s">
        <v>701</v>
      </c>
      <c r="E696" s="1068">
        <v>1.865</v>
      </c>
      <c r="F696" s="1039">
        <v>8563</v>
      </c>
      <c r="G696" s="359"/>
      <c r="H696" s="359"/>
      <c r="I696" s="360"/>
      <c r="J696" s="525"/>
      <c r="K696" s="898"/>
      <c r="L696" s="1007"/>
      <c r="M696" s="27"/>
      <c r="N696" s="27"/>
      <c r="O696" s="361"/>
      <c r="P696" s="110"/>
      <c r="Q696" s="27"/>
      <c r="R696" s="540"/>
      <c r="S696" s="9"/>
      <c r="T696" s="9"/>
      <c r="U696" s="9"/>
      <c r="V696" s="74"/>
      <c r="W696" s="9"/>
      <c r="X696" s="74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316"/>
      <c r="AQ696" s="8"/>
    </row>
    <row r="697" spans="1:43" ht="28.9" hidden="1" customHeight="1" x14ac:dyDescent="0.25">
      <c r="A697" s="11" t="e">
        <f>#REF!+1</f>
        <v>#REF!</v>
      </c>
      <c r="B697" s="963"/>
      <c r="C697" s="989" t="s">
        <v>394</v>
      </c>
      <c r="D697" s="936" t="s">
        <v>703</v>
      </c>
      <c r="E697" s="1068">
        <v>0.76</v>
      </c>
      <c r="F697" s="1039">
        <v>3030</v>
      </c>
      <c r="G697" s="359"/>
      <c r="H697" s="359"/>
      <c r="I697" s="360"/>
      <c r="J697" s="525"/>
      <c r="K697" s="898"/>
      <c r="L697" s="1007"/>
      <c r="M697" s="27"/>
      <c r="N697" s="27"/>
      <c r="O697" s="361"/>
      <c r="P697" s="110"/>
      <c r="Q697" s="27"/>
      <c r="R697" s="540"/>
      <c r="S697" s="9"/>
      <c r="T697" s="9"/>
      <c r="U697" s="9"/>
      <c r="V697" s="74"/>
      <c r="W697" s="9"/>
      <c r="X697" s="74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316"/>
      <c r="AQ697" s="8"/>
    </row>
    <row r="698" spans="1:43" ht="18.600000000000001" hidden="1" customHeight="1" x14ac:dyDescent="0.25">
      <c r="A698" s="11" t="e">
        <f t="shared" si="7"/>
        <v>#REF!</v>
      </c>
      <c r="B698" s="963"/>
      <c r="C698" s="989" t="s">
        <v>395</v>
      </c>
      <c r="D698" s="936" t="s">
        <v>704</v>
      </c>
      <c r="E698" s="1068">
        <v>9.27</v>
      </c>
      <c r="F698" s="1039">
        <v>4196</v>
      </c>
      <c r="G698" s="359"/>
      <c r="H698" s="359"/>
      <c r="I698" s="360"/>
      <c r="J698" s="525"/>
      <c r="K698" s="898"/>
      <c r="L698" s="1007"/>
      <c r="M698" s="27"/>
      <c r="N698" s="27"/>
      <c r="O698" s="361"/>
      <c r="P698" s="110"/>
      <c r="Q698" s="27"/>
      <c r="R698" s="540"/>
      <c r="S698" s="9"/>
      <c r="T698" s="9"/>
      <c r="U698" s="9"/>
      <c r="V698" s="74"/>
      <c r="W698" s="9"/>
      <c r="X698" s="74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316"/>
      <c r="AQ698" s="8"/>
    </row>
    <row r="699" spans="1:43" ht="27" hidden="1" customHeight="1" thickBot="1" x14ac:dyDescent="0.3">
      <c r="A699" s="156" t="e">
        <f t="shared" si="7"/>
        <v>#REF!</v>
      </c>
      <c r="B699" s="892"/>
      <c r="C699" s="1004" t="s">
        <v>396</v>
      </c>
      <c r="D699" s="998" t="s">
        <v>705</v>
      </c>
      <c r="E699" s="1040">
        <v>10.53</v>
      </c>
      <c r="F699" s="1036">
        <v>53988</v>
      </c>
      <c r="G699" s="367"/>
      <c r="H699" s="367"/>
      <c r="I699" s="368"/>
      <c r="J699" s="160"/>
      <c r="K699" s="885"/>
      <c r="L699" s="385"/>
      <c r="M699" s="27"/>
      <c r="N699" s="27"/>
      <c r="O699" s="361"/>
      <c r="P699" s="110"/>
      <c r="Q699" s="27"/>
      <c r="R699" s="540"/>
      <c r="S699" s="9"/>
      <c r="T699" s="9"/>
      <c r="U699" s="9"/>
      <c r="V699" s="74"/>
      <c r="W699" s="9"/>
      <c r="X699" s="74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316"/>
      <c r="AQ699" s="8"/>
    </row>
    <row r="700" spans="1:43" ht="29.65" customHeight="1" x14ac:dyDescent="0.25">
      <c r="A700" s="1235">
        <v>21</v>
      </c>
      <c r="B700" s="2040" t="s">
        <v>1101</v>
      </c>
      <c r="C700" s="1193" t="s">
        <v>397</v>
      </c>
      <c r="D700" s="1289" t="s">
        <v>706</v>
      </c>
      <c r="E700" s="1484">
        <v>5.22</v>
      </c>
      <c r="F700" s="1426">
        <v>28809</v>
      </c>
      <c r="G700" s="1303" t="s">
        <v>1031</v>
      </c>
      <c r="H700" s="1303" t="s">
        <v>1077</v>
      </c>
      <c r="I700" s="1190" t="s">
        <v>7</v>
      </c>
      <c r="J700" s="1104">
        <v>5.22</v>
      </c>
      <c r="K700" s="162" t="s">
        <v>2</v>
      </c>
      <c r="L700" s="1282">
        <v>57237.351999999999</v>
      </c>
      <c r="M700" s="1845"/>
      <c r="N700" s="1514"/>
      <c r="O700" s="1848"/>
      <c r="P700" s="55"/>
      <c r="Q700" s="21"/>
      <c r="R700" s="535"/>
      <c r="S700" s="9"/>
      <c r="T700" s="9"/>
      <c r="U700" s="9"/>
      <c r="V700" s="74"/>
      <c r="W700" s="9"/>
      <c r="X700" s="74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316"/>
      <c r="AQ700" s="8"/>
    </row>
    <row r="701" spans="1:43" ht="24.4" customHeight="1" thickBot="1" x14ac:dyDescent="0.3">
      <c r="A701" s="1224"/>
      <c r="B701" s="2041"/>
      <c r="C701" s="1194"/>
      <c r="D701" s="1234"/>
      <c r="E701" s="1485"/>
      <c r="F701" s="1427"/>
      <c r="G701" s="1163"/>
      <c r="H701" s="1163"/>
      <c r="I701" s="1161"/>
      <c r="J701" s="194">
        <v>26115</v>
      </c>
      <c r="K701" s="158" t="s">
        <v>3</v>
      </c>
      <c r="L701" s="1283"/>
      <c r="M701" s="1463"/>
      <c r="N701" s="1280"/>
      <c r="O701" s="1494"/>
      <c r="P701" s="149"/>
      <c r="Q701" s="21"/>
      <c r="R701" s="535"/>
      <c r="S701" s="9"/>
      <c r="T701" s="9"/>
      <c r="U701" s="9"/>
      <c r="V701" s="74"/>
      <c r="W701" s="9"/>
      <c r="X701" s="74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316"/>
      <c r="AQ701" s="8"/>
    </row>
    <row r="702" spans="1:43" ht="27.6" hidden="1" customHeight="1" x14ac:dyDescent="0.25">
      <c r="A702" s="61">
        <f>A700+1</f>
        <v>22</v>
      </c>
      <c r="B702" s="893"/>
      <c r="C702" s="193" t="s">
        <v>980</v>
      </c>
      <c r="D702" s="936" t="s">
        <v>707</v>
      </c>
      <c r="E702" s="991">
        <v>8.0299999999999994</v>
      </c>
      <c r="F702" s="1037">
        <v>49679</v>
      </c>
      <c r="G702" s="369"/>
      <c r="H702" s="369"/>
      <c r="I702" s="360"/>
      <c r="J702" s="154"/>
      <c r="K702" s="898"/>
      <c r="L702" s="384"/>
      <c r="M702" s="27"/>
      <c r="N702" s="27"/>
      <c r="O702" s="361"/>
      <c r="P702" s="137"/>
      <c r="Q702" s="9"/>
      <c r="R702" s="1030"/>
      <c r="S702" s="9"/>
      <c r="T702" s="9"/>
      <c r="U702" s="9"/>
      <c r="V702" s="74"/>
      <c r="W702" s="9"/>
      <c r="X702" s="74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316"/>
      <c r="AQ702" s="8"/>
    </row>
    <row r="703" spans="1:43" ht="18.600000000000001" hidden="1" customHeight="1" x14ac:dyDescent="0.25">
      <c r="A703" s="11">
        <f t="shared" si="7"/>
        <v>23</v>
      </c>
      <c r="B703" s="963"/>
      <c r="C703" s="70" t="s">
        <v>398</v>
      </c>
      <c r="D703" s="386" t="s">
        <v>708</v>
      </c>
      <c r="E703" s="1068">
        <v>3.04</v>
      </c>
      <c r="F703" s="1039">
        <v>14232</v>
      </c>
      <c r="G703" s="387"/>
      <c r="H703" s="359"/>
      <c r="I703" s="360"/>
      <c r="J703" s="525"/>
      <c r="K703" s="898"/>
      <c r="L703" s="1007"/>
      <c r="M703" s="27"/>
      <c r="N703" s="27"/>
      <c r="O703" s="361"/>
      <c r="P703" s="137"/>
      <c r="Q703" s="9"/>
      <c r="R703" s="1030"/>
      <c r="S703" s="9"/>
      <c r="T703" s="9"/>
      <c r="U703" s="9"/>
      <c r="V703" s="74"/>
      <c r="W703" s="9"/>
      <c r="X703" s="74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316"/>
      <c r="AQ703" s="8"/>
    </row>
    <row r="704" spans="1:43" ht="19.350000000000001" hidden="1" customHeight="1" x14ac:dyDescent="0.25">
      <c r="A704" s="11">
        <f t="shared" si="7"/>
        <v>24</v>
      </c>
      <c r="B704" s="963"/>
      <c r="C704" s="70" t="s">
        <v>981</v>
      </c>
      <c r="D704" s="386" t="s">
        <v>709</v>
      </c>
      <c r="E704" s="1068">
        <v>8.5299999999999994</v>
      </c>
      <c r="F704" s="1039">
        <v>40883</v>
      </c>
      <c r="G704" s="387"/>
      <c r="H704" s="359"/>
      <c r="I704" s="360"/>
      <c r="J704" s="525"/>
      <c r="K704" s="898"/>
      <c r="L704" s="1007"/>
      <c r="M704" s="27"/>
      <c r="N704" s="27"/>
      <c r="O704" s="361"/>
      <c r="P704" s="137"/>
      <c r="Q704" s="9"/>
      <c r="R704" s="1030"/>
      <c r="S704" s="9"/>
      <c r="T704" s="9"/>
      <c r="U704" s="9"/>
      <c r="V704" s="74"/>
      <c r="W704" s="9"/>
      <c r="X704" s="74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316"/>
      <c r="AQ704" s="8"/>
    </row>
    <row r="705" spans="1:43" ht="27.6" hidden="1" customHeight="1" x14ac:dyDescent="0.25">
      <c r="A705" s="11">
        <f t="shared" si="7"/>
        <v>25</v>
      </c>
      <c r="B705" s="963"/>
      <c r="C705" s="70" t="s">
        <v>399</v>
      </c>
      <c r="D705" s="386" t="s">
        <v>710</v>
      </c>
      <c r="E705" s="1068">
        <v>4.4000000000000004</v>
      </c>
      <c r="F705" s="1039">
        <v>19633</v>
      </c>
      <c r="G705" s="387"/>
      <c r="H705" s="359"/>
      <c r="I705" s="360"/>
      <c r="J705" s="525"/>
      <c r="K705" s="898"/>
      <c r="L705" s="1007"/>
      <c r="M705" s="27"/>
      <c r="N705" s="27"/>
      <c r="O705" s="361"/>
      <c r="P705" s="137"/>
      <c r="Q705" s="9"/>
      <c r="R705" s="1030"/>
      <c r="S705" s="9"/>
      <c r="T705" s="9"/>
      <c r="U705" s="9"/>
      <c r="V705" s="74"/>
      <c r="W705" s="9"/>
      <c r="X705" s="74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316"/>
      <c r="AQ705" s="8"/>
    </row>
    <row r="706" spans="1:43" ht="31.15" hidden="1" customHeight="1" x14ac:dyDescent="0.25">
      <c r="A706" s="11">
        <f t="shared" si="7"/>
        <v>26</v>
      </c>
      <c r="B706" s="963"/>
      <c r="C706" s="70" t="s">
        <v>400</v>
      </c>
      <c r="D706" s="386" t="s">
        <v>711</v>
      </c>
      <c r="E706" s="1040">
        <v>0.88</v>
      </c>
      <c r="F706" s="1036">
        <v>6387</v>
      </c>
      <c r="G706" s="387"/>
      <c r="H706" s="359"/>
      <c r="I706" s="360"/>
      <c r="J706" s="525"/>
      <c r="K706" s="898"/>
      <c r="L706" s="1007"/>
      <c r="M706" s="27"/>
      <c r="N706" s="27"/>
      <c r="O706" s="361"/>
      <c r="P706" s="137"/>
      <c r="Q706" s="9"/>
      <c r="R706" s="1030"/>
      <c r="S706" s="9"/>
      <c r="T706" s="9"/>
      <c r="U706" s="9"/>
      <c r="V706" s="74"/>
      <c r="W706" s="9"/>
      <c r="X706" s="74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316"/>
      <c r="AQ706" s="8"/>
    </row>
    <row r="707" spans="1:43" ht="18" hidden="1" customHeight="1" x14ac:dyDescent="0.25">
      <c r="A707" s="11">
        <f t="shared" si="7"/>
        <v>27</v>
      </c>
      <c r="B707" s="963"/>
      <c r="C707" s="70" t="s">
        <v>982</v>
      </c>
      <c r="D707" s="386" t="s">
        <v>712</v>
      </c>
      <c r="E707" s="1068">
        <v>1.3</v>
      </c>
      <c r="F707" s="1039">
        <v>6261</v>
      </c>
      <c r="G707" s="387"/>
      <c r="H707" s="359"/>
      <c r="I707" s="360"/>
      <c r="J707" s="525"/>
      <c r="K707" s="898"/>
      <c r="L707" s="1007"/>
      <c r="M707" s="27"/>
      <c r="N707" s="27"/>
      <c r="O707" s="361"/>
      <c r="P707" s="137"/>
      <c r="Q707" s="9"/>
      <c r="R707" s="1030"/>
      <c r="S707" s="9"/>
      <c r="T707" s="9"/>
      <c r="U707" s="9"/>
      <c r="V707" s="74"/>
      <c r="W707" s="9"/>
      <c r="X707" s="74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316"/>
      <c r="AQ707" s="8"/>
    </row>
    <row r="708" spans="1:43" ht="18" hidden="1" customHeight="1" x14ac:dyDescent="0.25">
      <c r="A708" s="11"/>
      <c r="B708" s="963"/>
      <c r="C708" s="71" t="s">
        <v>887</v>
      </c>
      <c r="D708" s="386"/>
      <c r="E708" s="1068"/>
      <c r="F708" s="1039"/>
      <c r="G708" s="387"/>
      <c r="H708" s="359"/>
      <c r="I708" s="360"/>
      <c r="J708" s="525"/>
      <c r="K708" s="898"/>
      <c r="L708" s="1007"/>
      <c r="M708" s="27"/>
      <c r="N708" s="27"/>
      <c r="O708" s="361"/>
      <c r="P708" s="137"/>
      <c r="Q708" s="9"/>
      <c r="R708" s="1030"/>
      <c r="S708" s="9"/>
      <c r="T708" s="9"/>
      <c r="U708" s="9"/>
      <c r="V708" s="74"/>
      <c r="W708" s="9"/>
      <c r="X708" s="74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316"/>
      <c r="AQ708" s="8"/>
    </row>
    <row r="709" spans="1:43" ht="29.65" hidden="1" customHeight="1" x14ac:dyDescent="0.25">
      <c r="A709" s="11">
        <f>A707+1</f>
        <v>28</v>
      </c>
      <c r="B709" s="963"/>
      <c r="C709" s="70" t="s">
        <v>401</v>
      </c>
      <c r="D709" s="386" t="s">
        <v>713</v>
      </c>
      <c r="E709" s="1068">
        <v>12.1</v>
      </c>
      <c r="F709" s="1039">
        <v>96937</v>
      </c>
      <c r="G709" s="387"/>
      <c r="H709" s="359"/>
      <c r="I709" s="360"/>
      <c r="J709" s="525"/>
      <c r="K709" s="898"/>
      <c r="L709" s="1007"/>
      <c r="M709" s="27"/>
      <c r="N709" s="27"/>
      <c r="O709" s="361"/>
      <c r="P709" s="137"/>
      <c r="Q709" s="9"/>
      <c r="R709" s="1030"/>
      <c r="S709" s="9"/>
      <c r="T709" s="9"/>
      <c r="U709" s="9"/>
      <c r="V709" s="74"/>
      <c r="W709" s="9"/>
      <c r="X709" s="74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316"/>
      <c r="AQ709" s="8"/>
    </row>
    <row r="710" spans="1:43" ht="28.9" hidden="1" customHeight="1" x14ac:dyDescent="0.25">
      <c r="A710" s="11">
        <f t="shared" si="7"/>
        <v>29</v>
      </c>
      <c r="B710" s="963"/>
      <c r="C710" s="70" t="s">
        <v>983</v>
      </c>
      <c r="D710" s="386" t="s">
        <v>714</v>
      </c>
      <c r="E710" s="991">
        <v>10.8</v>
      </c>
      <c r="F710" s="1037">
        <v>72799</v>
      </c>
      <c r="G710" s="387"/>
      <c r="H710" s="359"/>
      <c r="I710" s="360"/>
      <c r="J710" s="525"/>
      <c r="K710" s="898"/>
      <c r="L710" s="1007"/>
      <c r="M710" s="27"/>
      <c r="N710" s="27"/>
      <c r="O710" s="361"/>
      <c r="P710" s="137"/>
      <c r="Q710" s="9"/>
      <c r="R710" s="1030"/>
      <c r="S710" s="9"/>
      <c r="T710" s="9"/>
      <c r="U710" s="9"/>
      <c r="V710" s="74"/>
      <c r="W710" s="9"/>
      <c r="X710" s="74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316"/>
      <c r="AQ710" s="8"/>
    </row>
    <row r="711" spans="1:43" ht="29.65" hidden="1" customHeight="1" x14ac:dyDescent="0.25">
      <c r="A711" s="11">
        <f t="shared" si="7"/>
        <v>30</v>
      </c>
      <c r="B711" s="963"/>
      <c r="C711" s="70" t="s">
        <v>402</v>
      </c>
      <c r="D711" s="386" t="s">
        <v>715</v>
      </c>
      <c r="E711" s="1068">
        <v>1.5</v>
      </c>
      <c r="F711" s="1039">
        <v>6814</v>
      </c>
      <c r="G711" s="387"/>
      <c r="H711" s="359"/>
      <c r="I711" s="360"/>
      <c r="J711" s="525"/>
      <c r="K711" s="898"/>
      <c r="L711" s="1007"/>
      <c r="M711" s="27"/>
      <c r="N711" s="27"/>
      <c r="O711" s="361"/>
      <c r="P711" s="137"/>
      <c r="Q711" s="9"/>
      <c r="R711" s="1030"/>
      <c r="S711" s="9"/>
      <c r="T711" s="9"/>
      <c r="U711" s="9"/>
      <c r="V711" s="74"/>
      <c r="W711" s="9"/>
      <c r="X711" s="74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316"/>
      <c r="AQ711" s="8"/>
    </row>
    <row r="712" spans="1:43" ht="32.1" hidden="1" customHeight="1" x14ac:dyDescent="0.25">
      <c r="A712" s="11">
        <f t="shared" si="7"/>
        <v>31</v>
      </c>
      <c r="B712" s="963"/>
      <c r="C712" s="70" t="s">
        <v>403</v>
      </c>
      <c r="D712" s="386" t="s">
        <v>716</v>
      </c>
      <c r="E712" s="1068">
        <v>7.3</v>
      </c>
      <c r="F712" s="1039">
        <v>60322</v>
      </c>
      <c r="G712" s="387"/>
      <c r="H712" s="359"/>
      <c r="I712" s="360"/>
      <c r="J712" s="525"/>
      <c r="K712" s="898"/>
      <c r="L712" s="1007"/>
      <c r="M712" s="27"/>
      <c r="N712" s="27"/>
      <c r="O712" s="361"/>
      <c r="P712" s="137"/>
      <c r="Q712" s="9"/>
      <c r="R712" s="1030"/>
      <c r="S712" s="9"/>
      <c r="T712" s="9"/>
      <c r="U712" s="9"/>
      <c r="V712" s="74"/>
      <c r="W712" s="9"/>
      <c r="X712" s="74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316"/>
      <c r="AQ712" s="8"/>
    </row>
    <row r="713" spans="1:43" ht="31.15" hidden="1" customHeight="1" x14ac:dyDescent="0.25">
      <c r="A713" s="11">
        <f t="shared" si="7"/>
        <v>32</v>
      </c>
      <c r="B713" s="963"/>
      <c r="C713" s="70" t="s">
        <v>984</v>
      </c>
      <c r="D713" s="386" t="s">
        <v>717</v>
      </c>
      <c r="E713" s="1068">
        <v>5.694</v>
      </c>
      <c r="F713" s="1039">
        <v>31143</v>
      </c>
      <c r="G713" s="387"/>
      <c r="H713" s="359"/>
      <c r="I713" s="360"/>
      <c r="J713" s="525"/>
      <c r="K713" s="898"/>
      <c r="L713" s="1007"/>
      <c r="M713" s="27"/>
      <c r="N713" s="27"/>
      <c r="O713" s="361"/>
      <c r="P713" s="137"/>
      <c r="Q713" s="9"/>
      <c r="R713" s="1030"/>
      <c r="S713" s="9"/>
      <c r="T713" s="9"/>
      <c r="U713" s="9"/>
      <c r="V713" s="74"/>
      <c r="W713" s="9"/>
      <c r="X713" s="74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316"/>
      <c r="AQ713" s="8"/>
    </row>
    <row r="714" spans="1:43" ht="31.5" hidden="1" customHeight="1" x14ac:dyDescent="0.25">
      <c r="A714" s="11">
        <f t="shared" si="7"/>
        <v>33</v>
      </c>
      <c r="B714" s="963"/>
      <c r="C714" s="70" t="s">
        <v>404</v>
      </c>
      <c r="D714" s="386" t="s">
        <v>718</v>
      </c>
      <c r="E714" s="1068">
        <v>11.138</v>
      </c>
      <c r="F714" s="1039">
        <v>64959</v>
      </c>
      <c r="G714" s="387"/>
      <c r="H714" s="359"/>
      <c r="I714" s="360"/>
      <c r="J714" s="525"/>
      <c r="K714" s="898"/>
      <c r="L714" s="1007"/>
      <c r="M714" s="27"/>
      <c r="N714" s="27"/>
      <c r="O714" s="361"/>
      <c r="P714" s="137"/>
      <c r="Q714" s="9"/>
      <c r="R714" s="1030"/>
      <c r="S714" s="9"/>
      <c r="T714" s="9"/>
      <c r="U714" s="9"/>
      <c r="V714" s="74"/>
      <c r="W714" s="9"/>
      <c r="X714" s="74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316"/>
      <c r="AQ714" s="8"/>
    </row>
    <row r="715" spans="1:43" ht="15.4" hidden="1" customHeight="1" x14ac:dyDescent="0.25">
      <c r="A715" s="11">
        <f t="shared" si="7"/>
        <v>34</v>
      </c>
      <c r="B715" s="963"/>
      <c r="C715" s="70" t="s">
        <v>405</v>
      </c>
      <c r="D715" s="386" t="s">
        <v>719</v>
      </c>
      <c r="E715" s="1068">
        <v>3.5</v>
      </c>
      <c r="F715" s="1039">
        <v>20030</v>
      </c>
      <c r="G715" s="387"/>
      <c r="H715" s="359"/>
      <c r="I715" s="360"/>
      <c r="J715" s="525"/>
      <c r="K715" s="898"/>
      <c r="L715" s="1007"/>
      <c r="M715" s="27"/>
      <c r="N715" s="27"/>
      <c r="O715" s="361"/>
      <c r="P715" s="137"/>
      <c r="Q715" s="9"/>
      <c r="R715" s="1030"/>
      <c r="S715" s="9"/>
      <c r="T715" s="9"/>
      <c r="U715" s="9"/>
      <c r="V715" s="74"/>
      <c r="W715" s="9"/>
      <c r="X715" s="74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316"/>
      <c r="AQ715" s="8"/>
    </row>
    <row r="716" spans="1:43" ht="30.2" hidden="1" customHeight="1" x14ac:dyDescent="0.25">
      <c r="A716" s="11">
        <f t="shared" si="7"/>
        <v>35</v>
      </c>
      <c r="B716" s="963"/>
      <c r="C716" s="70" t="s">
        <v>406</v>
      </c>
      <c r="D716" s="386" t="s">
        <v>720</v>
      </c>
      <c r="E716" s="1068">
        <v>5.7</v>
      </c>
      <c r="F716" s="1039">
        <v>26950</v>
      </c>
      <c r="G716" s="387"/>
      <c r="H716" s="359"/>
      <c r="I716" s="360"/>
      <c r="J716" s="525"/>
      <c r="K716" s="898"/>
      <c r="L716" s="1007"/>
      <c r="M716" s="27"/>
      <c r="N716" s="27"/>
      <c r="O716" s="361"/>
      <c r="P716" s="137"/>
      <c r="Q716" s="9"/>
      <c r="R716" s="1030"/>
      <c r="S716" s="9"/>
      <c r="T716" s="9"/>
      <c r="U716" s="9"/>
      <c r="V716" s="74"/>
      <c r="W716" s="9"/>
      <c r="X716" s="74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316"/>
      <c r="AQ716" s="8"/>
    </row>
    <row r="717" spans="1:43" ht="18" hidden="1" customHeight="1" x14ac:dyDescent="0.25">
      <c r="A717" s="11">
        <f t="shared" si="7"/>
        <v>36</v>
      </c>
      <c r="B717" s="963"/>
      <c r="C717" s="70" t="s">
        <v>407</v>
      </c>
      <c r="D717" s="386" t="s">
        <v>721</v>
      </c>
      <c r="E717" s="1068">
        <v>9.99</v>
      </c>
      <c r="F717" s="1039">
        <v>43285</v>
      </c>
      <c r="G717" s="387"/>
      <c r="H717" s="359"/>
      <c r="I717" s="360"/>
      <c r="J717" s="525"/>
      <c r="K717" s="898"/>
      <c r="L717" s="1007"/>
      <c r="M717" s="27"/>
      <c r="N717" s="27"/>
      <c r="O717" s="361"/>
      <c r="P717" s="137"/>
      <c r="Q717" s="9"/>
      <c r="R717" s="1030"/>
      <c r="S717" s="9"/>
      <c r="T717" s="9"/>
      <c r="U717" s="9"/>
      <c r="V717" s="74"/>
      <c r="W717" s="9"/>
      <c r="X717" s="74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316"/>
      <c r="AQ717" s="8"/>
    </row>
    <row r="718" spans="1:43" ht="15.4" hidden="1" customHeight="1" x14ac:dyDescent="0.25">
      <c r="A718" s="11">
        <f t="shared" si="7"/>
        <v>37</v>
      </c>
      <c r="B718" s="963"/>
      <c r="C718" s="989" t="s">
        <v>408</v>
      </c>
      <c r="D718" s="936" t="s">
        <v>722</v>
      </c>
      <c r="E718" s="1068">
        <v>5</v>
      </c>
      <c r="F718" s="1039">
        <v>25350</v>
      </c>
      <c r="G718" s="359"/>
      <c r="H718" s="359"/>
      <c r="I718" s="360"/>
      <c r="J718" s="525"/>
      <c r="K718" s="898"/>
      <c r="L718" s="1007"/>
      <c r="M718" s="27"/>
      <c r="N718" s="27"/>
      <c r="O718" s="361"/>
      <c r="P718" s="137"/>
      <c r="Q718" s="9"/>
      <c r="R718" s="1030"/>
      <c r="S718" s="9"/>
      <c r="T718" s="9"/>
      <c r="U718" s="9"/>
      <c r="V718" s="74"/>
      <c r="W718" s="9"/>
      <c r="X718" s="74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316"/>
      <c r="AQ718" s="8"/>
    </row>
    <row r="719" spans="1:43" ht="13.15" hidden="1" customHeight="1" x14ac:dyDescent="0.25">
      <c r="A719" s="11">
        <f t="shared" si="7"/>
        <v>38</v>
      </c>
      <c r="B719" s="963"/>
      <c r="C719" s="989" t="s">
        <v>409</v>
      </c>
      <c r="D719" s="936" t="s">
        <v>723</v>
      </c>
      <c r="E719" s="1068">
        <v>10.026</v>
      </c>
      <c r="F719" s="1039">
        <v>73927</v>
      </c>
      <c r="G719" s="359"/>
      <c r="H719" s="359"/>
      <c r="I719" s="360"/>
      <c r="J719" s="525"/>
      <c r="K719" s="898"/>
      <c r="L719" s="1007"/>
      <c r="M719" s="27"/>
      <c r="N719" s="27"/>
      <c r="O719" s="361"/>
      <c r="P719" s="137"/>
      <c r="Q719" s="9"/>
      <c r="R719" s="1030"/>
      <c r="S719" s="9"/>
      <c r="T719" s="9"/>
      <c r="U719" s="9"/>
      <c r="V719" s="74"/>
      <c r="W719" s="9"/>
      <c r="X719" s="74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316"/>
      <c r="AQ719" s="8"/>
    </row>
    <row r="720" spans="1:43" ht="13.5" hidden="1" customHeight="1" x14ac:dyDescent="0.25">
      <c r="A720" s="11">
        <f t="shared" si="7"/>
        <v>39</v>
      </c>
      <c r="B720" s="963"/>
      <c r="C720" s="989" t="s">
        <v>410</v>
      </c>
      <c r="D720" s="936" t="s">
        <v>724</v>
      </c>
      <c r="E720" s="1068">
        <v>4.34</v>
      </c>
      <c r="F720" s="1039">
        <v>23140</v>
      </c>
      <c r="G720" s="359"/>
      <c r="H720" s="359"/>
      <c r="I720" s="360"/>
      <c r="J720" s="525"/>
      <c r="K720" s="898"/>
      <c r="L720" s="1007"/>
      <c r="M720" s="27"/>
      <c r="N720" s="27"/>
      <c r="O720" s="361"/>
      <c r="P720" s="137"/>
      <c r="Q720" s="9"/>
      <c r="R720" s="1030"/>
      <c r="S720" s="9"/>
      <c r="T720" s="9"/>
      <c r="U720" s="9"/>
      <c r="V720" s="74"/>
      <c r="W720" s="9"/>
      <c r="X720" s="74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316"/>
      <c r="AQ720" s="8"/>
    </row>
    <row r="721" spans="1:43" ht="14.85" hidden="1" customHeight="1" x14ac:dyDescent="0.25">
      <c r="A721" s="11">
        <f t="shared" si="7"/>
        <v>40</v>
      </c>
      <c r="B721" s="963"/>
      <c r="C721" s="989" t="s">
        <v>985</v>
      </c>
      <c r="D721" s="936" t="s">
        <v>725</v>
      </c>
      <c r="E721" s="1068">
        <v>2.2999999999999998</v>
      </c>
      <c r="F721" s="1039">
        <v>13225</v>
      </c>
      <c r="G721" s="359"/>
      <c r="H721" s="359"/>
      <c r="I721" s="360"/>
      <c r="J721" s="525"/>
      <c r="K721" s="898"/>
      <c r="L721" s="1007"/>
      <c r="M721" s="27"/>
      <c r="N721" s="27"/>
      <c r="O721" s="361"/>
      <c r="P721" s="137"/>
      <c r="Q721" s="9"/>
      <c r="R721" s="1030"/>
      <c r="S721" s="9"/>
      <c r="T721" s="9"/>
      <c r="U721" s="9"/>
      <c r="V721" s="74"/>
      <c r="W721" s="9"/>
      <c r="X721" s="74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316"/>
      <c r="AQ721" s="8"/>
    </row>
    <row r="722" spans="1:43" ht="17.649999999999999" hidden="1" customHeight="1" x14ac:dyDescent="0.25">
      <c r="A722" s="11">
        <f t="shared" si="7"/>
        <v>41</v>
      </c>
      <c r="B722" s="963"/>
      <c r="C722" s="989" t="s">
        <v>411</v>
      </c>
      <c r="D722" s="936" t="s">
        <v>726</v>
      </c>
      <c r="E722" s="1068">
        <v>4</v>
      </c>
      <c r="F722" s="1039">
        <v>34194</v>
      </c>
      <c r="G722" s="359"/>
      <c r="H722" s="359"/>
      <c r="I722" s="360"/>
      <c r="J722" s="525"/>
      <c r="K722" s="898"/>
      <c r="L722" s="1007"/>
      <c r="M722" s="27"/>
      <c r="N722" s="27"/>
      <c r="O722" s="361"/>
      <c r="P722" s="137"/>
      <c r="Q722" s="9"/>
      <c r="R722" s="1030"/>
      <c r="S722" s="9"/>
      <c r="T722" s="9"/>
      <c r="U722" s="9"/>
      <c r="V722" s="74"/>
      <c r="W722" s="9"/>
      <c r="X722" s="74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316"/>
      <c r="AQ722" s="8"/>
    </row>
    <row r="723" spans="1:43" ht="16.7" hidden="1" customHeight="1" x14ac:dyDescent="0.25">
      <c r="A723" s="11">
        <f t="shared" si="7"/>
        <v>42</v>
      </c>
      <c r="B723" s="963"/>
      <c r="C723" s="989" t="s">
        <v>412</v>
      </c>
      <c r="D723" s="936" t="s">
        <v>727</v>
      </c>
      <c r="E723" s="1068">
        <v>8.6059999999999999</v>
      </c>
      <c r="F723" s="1039">
        <v>41896</v>
      </c>
      <c r="G723" s="359"/>
      <c r="H723" s="359"/>
      <c r="I723" s="360"/>
      <c r="J723" s="525"/>
      <c r="K723" s="898"/>
      <c r="L723" s="1007"/>
      <c r="M723" s="27"/>
      <c r="N723" s="27"/>
      <c r="O723" s="361"/>
      <c r="P723" s="137"/>
      <c r="Q723" s="9"/>
      <c r="R723" s="1030"/>
      <c r="S723" s="9"/>
      <c r="T723" s="9"/>
      <c r="U723" s="9"/>
      <c r="V723" s="74"/>
      <c r="W723" s="9"/>
      <c r="X723" s="74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316"/>
      <c r="AQ723" s="8"/>
    </row>
    <row r="724" spans="1:43" ht="18" hidden="1" customHeight="1" x14ac:dyDescent="0.25">
      <c r="A724" s="11">
        <f t="shared" si="7"/>
        <v>43</v>
      </c>
      <c r="B724" s="963"/>
      <c r="C724" s="989" t="s">
        <v>413</v>
      </c>
      <c r="D724" s="936" t="s">
        <v>728</v>
      </c>
      <c r="E724" s="1068">
        <v>2.42</v>
      </c>
      <c r="F724" s="1039">
        <v>12835</v>
      </c>
      <c r="G724" s="359"/>
      <c r="H724" s="359"/>
      <c r="I724" s="360"/>
      <c r="J724" s="525"/>
      <c r="K724" s="898"/>
      <c r="L724" s="1007"/>
      <c r="M724" s="27"/>
      <c r="N724" s="27"/>
      <c r="O724" s="361"/>
      <c r="P724" s="137"/>
      <c r="Q724" s="9"/>
      <c r="R724" s="1030"/>
      <c r="S724" s="9"/>
      <c r="T724" s="9"/>
      <c r="U724" s="9"/>
      <c r="V724" s="74"/>
      <c r="W724" s="9"/>
      <c r="X724" s="74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316"/>
      <c r="AQ724" s="8"/>
    </row>
    <row r="725" spans="1:43" ht="18" hidden="1" customHeight="1" x14ac:dyDescent="0.25">
      <c r="A725" s="11">
        <f t="shared" si="7"/>
        <v>44</v>
      </c>
      <c r="B725" s="963"/>
      <c r="C725" s="989" t="s">
        <v>986</v>
      </c>
      <c r="D725" s="936" t="s">
        <v>729</v>
      </c>
      <c r="E725" s="1068">
        <v>9.3000000000000007</v>
      </c>
      <c r="F725" s="1039">
        <v>68119</v>
      </c>
      <c r="G725" s="359"/>
      <c r="H725" s="359"/>
      <c r="I725" s="360"/>
      <c r="J725" s="525"/>
      <c r="K725" s="898"/>
      <c r="L725" s="1007"/>
      <c r="M725" s="27"/>
      <c r="N725" s="27"/>
      <c r="O725" s="361"/>
      <c r="P725" s="137"/>
      <c r="Q725" s="9"/>
      <c r="R725" s="1030"/>
      <c r="S725" s="9"/>
      <c r="T725" s="9"/>
      <c r="U725" s="9"/>
      <c r="V725" s="74"/>
      <c r="W725" s="9"/>
      <c r="X725" s="74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316"/>
      <c r="AQ725" s="8"/>
    </row>
    <row r="726" spans="1:43" ht="14.85" hidden="1" customHeight="1" x14ac:dyDescent="0.25">
      <c r="A726" s="11">
        <f t="shared" si="7"/>
        <v>45</v>
      </c>
      <c r="B726" s="963"/>
      <c r="C726" s="989" t="s">
        <v>90</v>
      </c>
      <c r="D726" s="936" t="s">
        <v>730</v>
      </c>
      <c r="E726" s="1068">
        <v>1.4</v>
      </c>
      <c r="F726" s="1039">
        <v>5675</v>
      </c>
      <c r="G726" s="359"/>
      <c r="H726" s="359"/>
      <c r="I726" s="360"/>
      <c r="J726" s="525"/>
      <c r="K726" s="898"/>
      <c r="L726" s="1007"/>
      <c r="M726" s="27"/>
      <c r="N726" s="27"/>
      <c r="O726" s="361"/>
      <c r="P726" s="137"/>
      <c r="Q726" s="9"/>
      <c r="R726" s="1030"/>
      <c r="S726" s="9"/>
      <c r="T726" s="9"/>
      <c r="U726" s="9"/>
      <c r="V726" s="74"/>
      <c r="W726" s="9"/>
      <c r="X726" s="74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316"/>
      <c r="AQ726" s="8"/>
    </row>
    <row r="727" spans="1:43" ht="14.1" hidden="1" customHeight="1" x14ac:dyDescent="0.25">
      <c r="A727" s="11">
        <f t="shared" si="7"/>
        <v>46</v>
      </c>
      <c r="B727" s="963"/>
      <c r="C727" s="989" t="s">
        <v>414</v>
      </c>
      <c r="D727" s="936" t="s">
        <v>731</v>
      </c>
      <c r="E727" s="1068">
        <v>3.431</v>
      </c>
      <c r="F727" s="1039">
        <v>14356</v>
      </c>
      <c r="G727" s="359"/>
      <c r="H727" s="359"/>
      <c r="I727" s="360"/>
      <c r="J727" s="525"/>
      <c r="K727" s="898"/>
      <c r="L727" s="1007"/>
      <c r="M727" s="27"/>
      <c r="N727" s="27"/>
      <c r="O727" s="361"/>
      <c r="P727" s="137"/>
      <c r="Q727" s="9"/>
      <c r="R727" s="1030"/>
      <c r="S727" s="9"/>
      <c r="T727" s="9"/>
      <c r="U727" s="9"/>
      <c r="V727" s="74"/>
      <c r="W727" s="9"/>
      <c r="X727" s="74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316"/>
      <c r="AQ727" s="8"/>
    </row>
    <row r="728" spans="1:43" ht="15.4" hidden="1" customHeight="1" x14ac:dyDescent="0.25">
      <c r="A728" s="11">
        <f t="shared" si="7"/>
        <v>47</v>
      </c>
      <c r="B728" s="963"/>
      <c r="C728" s="989" t="s">
        <v>415</v>
      </c>
      <c r="D728" s="936" t="s">
        <v>732</v>
      </c>
      <c r="E728" s="1068">
        <v>12.44</v>
      </c>
      <c r="F728" s="1039">
        <v>61923</v>
      </c>
      <c r="G728" s="359"/>
      <c r="H728" s="359"/>
      <c r="I728" s="360"/>
      <c r="J728" s="525"/>
      <c r="K728" s="898"/>
      <c r="L728" s="1007"/>
      <c r="M728" s="27"/>
      <c r="N728" s="27"/>
      <c r="O728" s="361"/>
      <c r="P728" s="137"/>
      <c r="Q728" s="9"/>
      <c r="R728" s="1030"/>
      <c r="S728" s="9"/>
      <c r="T728" s="9"/>
      <c r="U728" s="9"/>
      <c r="V728" s="74"/>
      <c r="W728" s="9"/>
      <c r="X728" s="74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316"/>
      <c r="AQ728" s="8"/>
    </row>
    <row r="729" spans="1:43" ht="17.649999999999999" hidden="1" customHeight="1" x14ac:dyDescent="0.25">
      <c r="A729" s="11">
        <f t="shared" si="7"/>
        <v>48</v>
      </c>
      <c r="B729" s="963"/>
      <c r="C729" s="989" t="s">
        <v>416</v>
      </c>
      <c r="D729" s="936" t="s">
        <v>733</v>
      </c>
      <c r="E729" s="1068">
        <v>6.641</v>
      </c>
      <c r="F729" s="1039">
        <v>44001</v>
      </c>
      <c r="G729" s="359"/>
      <c r="H729" s="359"/>
      <c r="I729" s="360"/>
      <c r="J729" s="525"/>
      <c r="K729" s="898"/>
      <c r="L729" s="1007"/>
      <c r="M729" s="27"/>
      <c r="N729" s="27"/>
      <c r="O729" s="361"/>
      <c r="P729" s="137"/>
      <c r="Q729" s="9"/>
      <c r="R729" s="1030"/>
      <c r="S729" s="9"/>
      <c r="T729" s="9"/>
      <c r="U729" s="9"/>
      <c r="V729" s="74"/>
      <c r="W729" s="9"/>
      <c r="X729" s="74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316"/>
      <c r="AQ729" s="8"/>
    </row>
    <row r="730" spans="1:43" ht="15.4" hidden="1" customHeight="1" x14ac:dyDescent="0.25">
      <c r="A730" s="11">
        <f t="shared" si="7"/>
        <v>49</v>
      </c>
      <c r="B730" s="963"/>
      <c r="C730" s="989" t="s">
        <v>417</v>
      </c>
      <c r="D730" s="936" t="s">
        <v>734</v>
      </c>
      <c r="E730" s="1068">
        <v>10.3</v>
      </c>
      <c r="F730" s="1039">
        <v>44010</v>
      </c>
      <c r="G730" s="359"/>
      <c r="H730" s="359"/>
      <c r="I730" s="360"/>
      <c r="J730" s="525"/>
      <c r="K730" s="898"/>
      <c r="L730" s="1007"/>
      <c r="M730" s="27"/>
      <c r="N730" s="27"/>
      <c r="O730" s="361"/>
      <c r="P730" s="137"/>
      <c r="Q730" s="9"/>
      <c r="R730" s="1030"/>
      <c r="S730" s="9"/>
      <c r="T730" s="9"/>
      <c r="U730" s="9"/>
      <c r="V730" s="74"/>
      <c r="W730" s="9"/>
      <c r="X730" s="74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316"/>
      <c r="AQ730" s="8"/>
    </row>
    <row r="731" spans="1:43" ht="15.4" hidden="1" customHeight="1" x14ac:dyDescent="0.25">
      <c r="A731" s="156"/>
      <c r="B731" s="892"/>
      <c r="C731" s="184" t="s">
        <v>888</v>
      </c>
      <c r="D731" s="998"/>
      <c r="E731" s="990"/>
      <c r="F731" s="1036"/>
      <c r="G731" s="367"/>
      <c r="H731" s="367"/>
      <c r="I731" s="368"/>
      <c r="J731" s="160"/>
      <c r="K731" s="885"/>
      <c r="L731" s="385"/>
      <c r="M731" s="27"/>
      <c r="N731" s="27"/>
      <c r="O731" s="361"/>
      <c r="P731" s="137"/>
      <c r="Q731" s="9"/>
      <c r="R731" s="1030"/>
      <c r="S731" s="9"/>
      <c r="T731" s="9"/>
      <c r="U731" s="9"/>
      <c r="V731" s="74"/>
      <c r="W731" s="9"/>
      <c r="X731" s="74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316"/>
      <c r="AQ731" s="8"/>
    </row>
    <row r="732" spans="1:43" ht="27.6" customHeight="1" x14ac:dyDescent="0.25">
      <c r="A732" s="1235">
        <v>22</v>
      </c>
      <c r="B732" s="2040" t="s">
        <v>1103</v>
      </c>
      <c r="C732" s="1193" t="s">
        <v>91</v>
      </c>
      <c r="D732" s="1289" t="s">
        <v>735</v>
      </c>
      <c r="E732" s="1484">
        <v>5.5</v>
      </c>
      <c r="F732" s="1426">
        <v>42177</v>
      </c>
      <c r="G732" s="1303" t="s">
        <v>1031</v>
      </c>
      <c r="H732" s="1303" t="s">
        <v>1078</v>
      </c>
      <c r="I732" s="1190" t="s">
        <v>7</v>
      </c>
      <c r="J732" s="167">
        <v>5.5</v>
      </c>
      <c r="K732" s="182" t="s">
        <v>2</v>
      </c>
      <c r="L732" s="1307">
        <f>51000+16999.991-L734-2776.399</f>
        <v>64350.320000000014</v>
      </c>
      <c r="M732" s="205"/>
      <c r="N732" s="123"/>
      <c r="O732" s="138"/>
      <c r="P732" s="85"/>
      <c r="Q732" s="42"/>
      <c r="R732" s="535"/>
      <c r="S732" s="9"/>
      <c r="T732" s="9"/>
      <c r="U732" s="9"/>
      <c r="V732" s="74"/>
      <c r="W732" s="9"/>
      <c r="X732" s="74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316"/>
      <c r="AQ732" s="8"/>
    </row>
    <row r="733" spans="1:43" ht="24.4" customHeight="1" x14ac:dyDescent="0.25">
      <c r="A733" s="1223"/>
      <c r="B733" s="2042"/>
      <c r="C733" s="1304"/>
      <c r="D733" s="1328"/>
      <c r="E733" s="1418"/>
      <c r="F733" s="1416"/>
      <c r="G733" s="1280"/>
      <c r="H733" s="1280"/>
      <c r="I733" s="1226"/>
      <c r="J733" s="1061">
        <v>40508.199999999997</v>
      </c>
      <c r="K733" s="1110" t="s">
        <v>3</v>
      </c>
      <c r="L733" s="1308"/>
      <c r="M733" s="205"/>
      <c r="N733" s="123"/>
      <c r="O733" s="138"/>
      <c r="P733" s="1061"/>
      <c r="Q733" s="42"/>
      <c r="R733" s="535"/>
      <c r="S733" s="9"/>
      <c r="T733" s="9"/>
      <c r="U733" s="9"/>
      <c r="V733" s="74"/>
      <c r="W733" s="9"/>
      <c r="X733" s="74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316"/>
      <c r="AQ733" s="8"/>
    </row>
    <row r="734" spans="1:43" ht="22.5" customHeight="1" thickBot="1" x14ac:dyDescent="0.3">
      <c r="A734" s="1224"/>
      <c r="B734" s="2041"/>
      <c r="C734" s="1194"/>
      <c r="D734" s="1234"/>
      <c r="E734" s="1485"/>
      <c r="F734" s="1427"/>
      <c r="G734" s="1163"/>
      <c r="H734" s="1163"/>
      <c r="I734" s="1113" t="s">
        <v>8</v>
      </c>
      <c r="J734" s="185">
        <v>12.914</v>
      </c>
      <c r="K734" s="177" t="s">
        <v>2</v>
      </c>
      <c r="L734" s="275">
        <v>873.27200000000005</v>
      </c>
      <c r="M734" s="205"/>
      <c r="N734" s="123"/>
      <c r="O734" s="1053"/>
      <c r="P734" s="85"/>
      <c r="Q734" s="42"/>
      <c r="R734" s="535"/>
      <c r="S734" s="9"/>
      <c r="T734" s="9"/>
      <c r="U734" s="9"/>
      <c r="V734" s="74"/>
      <c r="W734" s="9"/>
      <c r="X734" s="74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316"/>
      <c r="AQ734" s="8"/>
    </row>
    <row r="735" spans="1:43" ht="27.6" hidden="1" customHeight="1" x14ac:dyDescent="0.25">
      <c r="A735" s="61">
        <f>A732+1</f>
        <v>23</v>
      </c>
      <c r="B735" s="893"/>
      <c r="C735" s="996" t="s">
        <v>987</v>
      </c>
      <c r="D735" s="936" t="s">
        <v>736</v>
      </c>
      <c r="E735" s="991">
        <v>18.399999999999999</v>
      </c>
      <c r="F735" s="1037">
        <v>138649</v>
      </c>
      <c r="G735" s="369"/>
      <c r="H735" s="369"/>
      <c r="I735" s="360"/>
      <c r="J735" s="1072"/>
      <c r="K735" s="898"/>
      <c r="L735" s="912"/>
      <c r="M735" s="27"/>
      <c r="N735" s="27"/>
      <c r="O735" s="361"/>
      <c r="P735" s="362"/>
      <c r="Q735" s="27"/>
      <c r="R735" s="540"/>
      <c r="S735" s="9"/>
      <c r="T735" s="9"/>
      <c r="U735" s="9"/>
      <c r="V735" s="74"/>
      <c r="W735" s="9"/>
      <c r="X735" s="74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316"/>
      <c r="AQ735" s="8"/>
    </row>
    <row r="736" spans="1:43" ht="14.1" hidden="1" customHeight="1" x14ac:dyDescent="0.25">
      <c r="A736" s="11">
        <f t="shared" si="7"/>
        <v>24</v>
      </c>
      <c r="B736" s="963"/>
      <c r="C736" s="989" t="s">
        <v>418</v>
      </c>
      <c r="D736" s="936" t="s">
        <v>737</v>
      </c>
      <c r="E736" s="1068">
        <v>20.95</v>
      </c>
      <c r="F736" s="1039">
        <v>192092</v>
      </c>
      <c r="G736" s="359"/>
      <c r="H736" s="359"/>
      <c r="I736" s="360"/>
      <c r="J736" s="1014"/>
      <c r="K736" s="898"/>
      <c r="L736" s="911"/>
      <c r="M736" s="27"/>
      <c r="N736" s="27"/>
      <c r="O736" s="361"/>
      <c r="P736" s="362"/>
      <c r="Q736" s="27"/>
      <c r="R736" s="540"/>
      <c r="S736" s="9"/>
      <c r="T736" s="9"/>
      <c r="U736" s="9"/>
      <c r="V736" s="74"/>
      <c r="W736" s="9"/>
      <c r="X736" s="74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316"/>
      <c r="AQ736" s="8"/>
    </row>
    <row r="737" spans="1:43" ht="14.85" hidden="1" customHeight="1" x14ac:dyDescent="0.25">
      <c r="A737" s="11">
        <f t="shared" si="7"/>
        <v>25</v>
      </c>
      <c r="B737" s="963"/>
      <c r="C737" s="989" t="s">
        <v>419</v>
      </c>
      <c r="D737" s="936" t="s">
        <v>738</v>
      </c>
      <c r="E737" s="1068">
        <v>4.2</v>
      </c>
      <c r="F737" s="1039">
        <v>27448</v>
      </c>
      <c r="G737" s="359"/>
      <c r="H737" s="359"/>
      <c r="I737" s="360"/>
      <c r="J737" s="1014"/>
      <c r="K737" s="898"/>
      <c r="L737" s="911"/>
      <c r="M737" s="27"/>
      <c r="N737" s="27"/>
      <c r="O737" s="361"/>
      <c r="P737" s="362"/>
      <c r="Q737" s="27"/>
      <c r="R737" s="540"/>
      <c r="S737" s="9"/>
      <c r="T737" s="9"/>
      <c r="U737" s="9"/>
      <c r="V737" s="74"/>
      <c r="W737" s="9"/>
      <c r="X737" s="74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316"/>
      <c r="AQ737" s="8"/>
    </row>
    <row r="738" spans="1:43" ht="13.5" hidden="1" customHeight="1" x14ac:dyDescent="0.25">
      <c r="A738" s="11">
        <f t="shared" si="7"/>
        <v>26</v>
      </c>
      <c r="B738" s="963"/>
      <c r="C738" s="989" t="s">
        <v>420</v>
      </c>
      <c r="D738" s="936" t="s">
        <v>739</v>
      </c>
      <c r="E738" s="1068">
        <v>2.2999999999999998</v>
      </c>
      <c r="F738" s="1039">
        <v>26666</v>
      </c>
      <c r="G738" s="359"/>
      <c r="H738" s="359"/>
      <c r="I738" s="360"/>
      <c r="J738" s="1014"/>
      <c r="K738" s="898"/>
      <c r="L738" s="911"/>
      <c r="M738" s="27"/>
      <c r="N738" s="27"/>
      <c r="O738" s="361"/>
      <c r="P738" s="362"/>
      <c r="Q738" s="27"/>
      <c r="R738" s="540"/>
      <c r="S738" s="9"/>
      <c r="T738" s="9"/>
      <c r="U738" s="9"/>
      <c r="V738" s="74"/>
      <c r="W738" s="9"/>
      <c r="X738" s="74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316"/>
      <c r="AQ738" s="8"/>
    </row>
    <row r="739" spans="1:43" ht="14.1" hidden="1" customHeight="1" x14ac:dyDescent="0.25">
      <c r="A739" s="11">
        <f t="shared" si="7"/>
        <v>27</v>
      </c>
      <c r="B739" s="963"/>
      <c r="C739" s="989" t="s">
        <v>421</v>
      </c>
      <c r="D739" s="936" t="s">
        <v>740</v>
      </c>
      <c r="E739" s="1068">
        <v>19.77</v>
      </c>
      <c r="F739" s="1039">
        <v>165934</v>
      </c>
      <c r="G739" s="359"/>
      <c r="H739" s="359"/>
      <c r="I739" s="360"/>
      <c r="J739" s="1014"/>
      <c r="K739" s="898"/>
      <c r="L739" s="911"/>
      <c r="M739" s="27"/>
      <c r="N739" s="27"/>
      <c r="O739" s="361"/>
      <c r="P739" s="362"/>
      <c r="Q739" s="27"/>
      <c r="R739" s="540"/>
      <c r="S739" s="9"/>
      <c r="T739" s="9"/>
      <c r="U739" s="9"/>
      <c r="V739" s="74"/>
      <c r="W739" s="9"/>
      <c r="X739" s="74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316"/>
      <c r="AQ739" s="8"/>
    </row>
    <row r="740" spans="1:43" ht="17.649999999999999" hidden="1" customHeight="1" x14ac:dyDescent="0.25">
      <c r="A740" s="11">
        <f t="shared" si="7"/>
        <v>28</v>
      </c>
      <c r="B740" s="963"/>
      <c r="C740" s="989" t="s">
        <v>422</v>
      </c>
      <c r="D740" s="936" t="s">
        <v>741</v>
      </c>
      <c r="E740" s="1040">
        <v>3.57</v>
      </c>
      <c r="F740" s="1036">
        <v>22946</v>
      </c>
      <c r="G740" s="359"/>
      <c r="H740" s="359"/>
      <c r="I740" s="360"/>
      <c r="J740" s="1014"/>
      <c r="K740" s="898"/>
      <c r="L740" s="911"/>
      <c r="M740" s="27"/>
      <c r="N740" s="27"/>
      <c r="O740" s="361"/>
      <c r="P740" s="362"/>
      <c r="Q740" s="27"/>
      <c r="R740" s="540"/>
      <c r="S740" s="9"/>
      <c r="T740" s="9"/>
      <c r="U740" s="9"/>
      <c r="V740" s="74"/>
      <c r="W740" s="9"/>
      <c r="X740" s="74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316"/>
      <c r="AQ740" s="8"/>
    </row>
    <row r="741" spans="1:43" ht="25.5" customHeight="1" x14ac:dyDescent="0.25">
      <c r="A741" s="1331">
        <v>23</v>
      </c>
      <c r="B741" s="1434">
        <v>1960268</v>
      </c>
      <c r="C741" s="1490" t="s">
        <v>423</v>
      </c>
      <c r="D741" s="1543" t="s">
        <v>742</v>
      </c>
      <c r="E741" s="1532">
        <v>12.1</v>
      </c>
      <c r="F741" s="1538">
        <v>79827</v>
      </c>
      <c r="G741" s="983"/>
      <c r="H741" s="983"/>
      <c r="I741" s="981"/>
      <c r="J741" s="1014"/>
      <c r="K741" s="898"/>
      <c r="L741" s="911"/>
      <c r="M741" s="1142" t="s">
        <v>1212</v>
      </c>
      <c r="N741" s="1142" t="s">
        <v>1105</v>
      </c>
      <c r="O741" s="1157" t="s">
        <v>7</v>
      </c>
      <c r="P741" s="1066">
        <v>4.04</v>
      </c>
      <c r="Q741" s="876" t="s">
        <v>2</v>
      </c>
      <c r="R741" s="1247">
        <v>57556.741000000002</v>
      </c>
      <c r="S741" s="9"/>
      <c r="T741" s="9"/>
      <c r="U741" s="9"/>
      <c r="V741" s="74"/>
      <c r="W741" s="9"/>
      <c r="X741" s="74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316"/>
      <c r="AQ741" s="8"/>
    </row>
    <row r="742" spans="1:43" ht="24" customHeight="1" thickBot="1" x14ac:dyDescent="0.3">
      <c r="A742" s="1332"/>
      <c r="B742" s="1368"/>
      <c r="C742" s="1257"/>
      <c r="D742" s="1471"/>
      <c r="E742" s="1533"/>
      <c r="F742" s="1539"/>
      <c r="G742" s="983"/>
      <c r="H742" s="983"/>
      <c r="I742" s="981"/>
      <c r="J742" s="1014"/>
      <c r="K742" s="898"/>
      <c r="L742" s="911"/>
      <c r="M742" s="1142"/>
      <c r="N742" s="1220"/>
      <c r="O742" s="1691"/>
      <c r="P742" s="928">
        <v>25090</v>
      </c>
      <c r="Q742" s="879" t="s">
        <v>3</v>
      </c>
      <c r="R742" s="1631"/>
      <c r="S742" s="9"/>
      <c r="T742" s="9"/>
      <c r="U742" s="9"/>
      <c r="V742" s="74"/>
      <c r="W742" s="9"/>
      <c r="X742" s="74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316"/>
      <c r="AQ742" s="8"/>
    </row>
    <row r="743" spans="1:43" ht="29.65" hidden="1" customHeight="1" x14ac:dyDescent="0.25">
      <c r="A743" s="1332"/>
      <c r="B743" s="963"/>
      <c r="C743" s="989" t="s">
        <v>424</v>
      </c>
      <c r="D743" s="936" t="s">
        <v>743</v>
      </c>
      <c r="E743" s="1068">
        <v>0.56000000000000005</v>
      </c>
      <c r="F743" s="1039">
        <v>4850</v>
      </c>
      <c r="G743" s="359"/>
      <c r="H743" s="359"/>
      <c r="I743" s="360"/>
      <c r="J743" s="1014"/>
      <c r="K743" s="898"/>
      <c r="L743" s="911"/>
      <c r="M743" s="27"/>
      <c r="N743" s="27"/>
      <c r="O743" s="361"/>
      <c r="P743" s="362"/>
      <c r="Q743" s="27"/>
      <c r="R743" s="540"/>
      <c r="S743" s="9"/>
      <c r="T743" s="9"/>
      <c r="U743" s="9"/>
      <c r="V743" s="74"/>
      <c r="W743" s="9"/>
      <c r="X743" s="74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316"/>
      <c r="AQ743" s="8"/>
    </row>
    <row r="744" spans="1:43" ht="14.1" hidden="1" customHeight="1" x14ac:dyDescent="0.25">
      <c r="A744" s="1332"/>
      <c r="B744" s="963"/>
      <c r="C744" s="989" t="s">
        <v>988</v>
      </c>
      <c r="D744" s="936" t="s">
        <v>744</v>
      </c>
      <c r="E744" s="1068">
        <v>1.1000000000000001</v>
      </c>
      <c r="F744" s="1039">
        <v>6137</v>
      </c>
      <c r="G744" s="359"/>
      <c r="H744" s="359"/>
      <c r="I744" s="360"/>
      <c r="J744" s="1014"/>
      <c r="K744" s="898"/>
      <c r="L744" s="911"/>
      <c r="M744" s="27"/>
      <c r="N744" s="27"/>
      <c r="O744" s="361"/>
      <c r="P744" s="362"/>
      <c r="Q744" s="27"/>
      <c r="R744" s="540"/>
      <c r="S744" s="9"/>
      <c r="T744" s="9"/>
      <c r="U744" s="9"/>
      <c r="V744" s="74"/>
      <c r="W744" s="9"/>
      <c r="X744" s="74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316"/>
      <c r="AQ744" s="8"/>
    </row>
    <row r="745" spans="1:43" ht="14.1" hidden="1" customHeight="1" x14ac:dyDescent="0.25">
      <c r="A745" s="1333"/>
      <c r="B745" s="963"/>
      <c r="C745" s="989" t="s">
        <v>989</v>
      </c>
      <c r="D745" s="936" t="s">
        <v>745</v>
      </c>
      <c r="E745" s="1068">
        <v>1.43</v>
      </c>
      <c r="F745" s="1039">
        <v>8374</v>
      </c>
      <c r="G745" s="359"/>
      <c r="H745" s="359"/>
      <c r="I745" s="360"/>
      <c r="J745" s="1014"/>
      <c r="K745" s="898"/>
      <c r="L745" s="911"/>
      <c r="M745" s="27"/>
      <c r="N745" s="27"/>
      <c r="O745" s="361"/>
      <c r="P745" s="362"/>
      <c r="Q745" s="27"/>
      <c r="R745" s="540"/>
      <c r="S745" s="9"/>
      <c r="T745" s="9"/>
      <c r="U745" s="9"/>
      <c r="V745" s="74"/>
      <c r="W745" s="9"/>
      <c r="X745" s="74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316"/>
      <c r="AQ745" s="8"/>
    </row>
    <row r="746" spans="1:43" ht="16.149999999999999" hidden="1" customHeight="1" x14ac:dyDescent="0.25">
      <c r="A746" s="11">
        <f t="shared" si="7"/>
        <v>1</v>
      </c>
      <c r="B746" s="963"/>
      <c r="C746" s="989" t="s">
        <v>425</v>
      </c>
      <c r="D746" s="936" t="s">
        <v>746</v>
      </c>
      <c r="E746" s="1068">
        <v>1</v>
      </c>
      <c r="F746" s="1039">
        <v>7900</v>
      </c>
      <c r="G746" s="359"/>
      <c r="H746" s="359"/>
      <c r="I746" s="360"/>
      <c r="J746" s="1014"/>
      <c r="K746" s="898"/>
      <c r="L746" s="911"/>
      <c r="M746" s="27"/>
      <c r="N746" s="27"/>
      <c r="O746" s="361"/>
      <c r="P746" s="362"/>
      <c r="Q746" s="27"/>
      <c r="R746" s="540"/>
      <c r="S746" s="9"/>
      <c r="T746" s="9"/>
      <c r="U746" s="9"/>
      <c r="V746" s="74"/>
      <c r="W746" s="9"/>
      <c r="X746" s="74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316"/>
      <c r="AQ746" s="8"/>
    </row>
    <row r="747" spans="1:43" ht="17.649999999999999" hidden="1" customHeight="1" x14ac:dyDescent="0.25">
      <c r="A747" s="11">
        <f t="shared" ref="A747:A817" si="8">A746+1</f>
        <v>2</v>
      </c>
      <c r="B747" s="963"/>
      <c r="C747" s="989" t="s">
        <v>426</v>
      </c>
      <c r="D747" s="936" t="s">
        <v>747</v>
      </c>
      <c r="E747" s="1068">
        <v>3.9</v>
      </c>
      <c r="F747" s="1039">
        <v>22920</v>
      </c>
      <c r="G747" s="359"/>
      <c r="H747" s="359"/>
      <c r="I747" s="360"/>
      <c r="J747" s="1014"/>
      <c r="K747" s="898"/>
      <c r="L747" s="911"/>
      <c r="M747" s="27"/>
      <c r="N747" s="27"/>
      <c r="O747" s="361"/>
      <c r="P747" s="362"/>
      <c r="Q747" s="27"/>
      <c r="R747" s="540"/>
      <c r="S747" s="9"/>
      <c r="T747" s="9"/>
      <c r="U747" s="9"/>
      <c r="V747" s="74"/>
      <c r="W747" s="9"/>
      <c r="X747" s="74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316"/>
      <c r="AQ747" s="8"/>
    </row>
    <row r="748" spans="1:43" ht="16.7" hidden="1" customHeight="1" x14ac:dyDescent="0.25">
      <c r="A748" s="11">
        <f t="shared" si="8"/>
        <v>3</v>
      </c>
      <c r="B748" s="963"/>
      <c r="C748" s="989" t="s">
        <v>427</v>
      </c>
      <c r="D748" s="936" t="s">
        <v>748</v>
      </c>
      <c r="E748" s="1068">
        <v>10.7</v>
      </c>
      <c r="F748" s="1039">
        <v>91656</v>
      </c>
      <c r="G748" s="359"/>
      <c r="H748" s="359"/>
      <c r="I748" s="360"/>
      <c r="J748" s="1014"/>
      <c r="K748" s="898"/>
      <c r="L748" s="911"/>
      <c r="M748" s="27"/>
      <c r="N748" s="27"/>
      <c r="O748" s="361"/>
      <c r="P748" s="362"/>
      <c r="Q748" s="27"/>
      <c r="R748" s="540"/>
      <c r="S748" s="9"/>
      <c r="T748" s="9"/>
      <c r="U748" s="9"/>
      <c r="V748" s="74"/>
      <c r="W748" s="9"/>
      <c r="X748" s="74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316"/>
      <c r="AQ748" s="8"/>
    </row>
    <row r="749" spans="1:43" ht="14.85" hidden="1" customHeight="1" x14ac:dyDescent="0.25">
      <c r="A749" s="11">
        <f t="shared" si="8"/>
        <v>4</v>
      </c>
      <c r="B749" s="963"/>
      <c r="C749" s="989" t="s">
        <v>428</v>
      </c>
      <c r="D749" s="936" t="s">
        <v>749</v>
      </c>
      <c r="E749" s="1068">
        <v>6.9</v>
      </c>
      <c r="F749" s="1039">
        <v>41489</v>
      </c>
      <c r="G749" s="359"/>
      <c r="H749" s="359"/>
      <c r="I749" s="360"/>
      <c r="J749" s="1014"/>
      <c r="K749" s="898"/>
      <c r="L749" s="911"/>
      <c r="M749" s="27"/>
      <c r="N749" s="27"/>
      <c r="O749" s="361"/>
      <c r="P749" s="362"/>
      <c r="Q749" s="27"/>
      <c r="R749" s="540"/>
      <c r="S749" s="9"/>
      <c r="T749" s="9"/>
      <c r="U749" s="9"/>
      <c r="V749" s="74"/>
      <c r="W749" s="9"/>
      <c r="X749" s="74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316"/>
      <c r="AQ749" s="8"/>
    </row>
    <row r="750" spans="1:43" ht="16.7" hidden="1" customHeight="1" x14ac:dyDescent="0.25">
      <c r="A750" s="11">
        <f t="shared" si="8"/>
        <v>5</v>
      </c>
      <c r="B750" s="963"/>
      <c r="C750" s="989" t="s">
        <v>92</v>
      </c>
      <c r="D750" s="936" t="s">
        <v>750</v>
      </c>
      <c r="E750" s="1068">
        <v>2</v>
      </c>
      <c r="F750" s="1039">
        <v>16702</v>
      </c>
      <c r="G750" s="359"/>
      <c r="H750" s="359"/>
      <c r="I750" s="360"/>
      <c r="J750" s="1014"/>
      <c r="K750" s="898"/>
      <c r="L750" s="911"/>
      <c r="M750" s="27"/>
      <c r="N750" s="27"/>
      <c r="O750" s="361"/>
      <c r="P750" s="362"/>
      <c r="Q750" s="27"/>
      <c r="R750" s="540"/>
      <c r="S750" s="9"/>
      <c r="T750" s="9"/>
      <c r="U750" s="9"/>
      <c r="V750" s="74"/>
      <c r="W750" s="9"/>
      <c r="X750" s="74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316"/>
      <c r="AQ750" s="8"/>
    </row>
    <row r="751" spans="1:43" ht="15.4" hidden="1" customHeight="1" x14ac:dyDescent="0.25">
      <c r="A751" s="11">
        <f t="shared" si="8"/>
        <v>6</v>
      </c>
      <c r="B751" s="963"/>
      <c r="C751" s="989" t="s">
        <v>429</v>
      </c>
      <c r="D751" s="936" t="s">
        <v>751</v>
      </c>
      <c r="E751" s="1068">
        <v>1</v>
      </c>
      <c r="F751" s="1039">
        <v>5750</v>
      </c>
      <c r="G751" s="359"/>
      <c r="H751" s="359"/>
      <c r="I751" s="360"/>
      <c r="J751" s="1014"/>
      <c r="K751" s="898"/>
      <c r="L751" s="911"/>
      <c r="M751" s="27"/>
      <c r="N751" s="27"/>
      <c r="O751" s="361"/>
      <c r="P751" s="362"/>
      <c r="Q751" s="27"/>
      <c r="R751" s="540"/>
      <c r="S751" s="9"/>
      <c r="T751" s="9"/>
      <c r="U751" s="9"/>
      <c r="V751" s="74"/>
      <c r="W751" s="9"/>
      <c r="X751" s="74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316"/>
      <c r="AQ751" s="8"/>
    </row>
    <row r="752" spans="1:43" ht="14.1" hidden="1" customHeight="1" x14ac:dyDescent="0.25">
      <c r="A752" s="11">
        <f t="shared" si="8"/>
        <v>7</v>
      </c>
      <c r="B752" s="963"/>
      <c r="C752" s="989" t="s">
        <v>990</v>
      </c>
      <c r="D752" s="936" t="s">
        <v>752</v>
      </c>
      <c r="E752" s="1068">
        <v>1.5</v>
      </c>
      <c r="F752" s="1039">
        <v>6550</v>
      </c>
      <c r="G752" s="359"/>
      <c r="H752" s="359"/>
      <c r="I752" s="360"/>
      <c r="J752" s="1014"/>
      <c r="K752" s="898"/>
      <c r="L752" s="911"/>
      <c r="M752" s="27"/>
      <c r="N752" s="27"/>
      <c r="O752" s="361"/>
      <c r="P752" s="362"/>
      <c r="Q752" s="27"/>
      <c r="R752" s="540"/>
      <c r="S752" s="9"/>
      <c r="T752" s="9"/>
      <c r="U752" s="9"/>
      <c r="V752" s="74"/>
      <c r="W752" s="9"/>
      <c r="X752" s="74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316"/>
      <c r="AQ752" s="8"/>
    </row>
    <row r="753" spans="1:43" ht="16.149999999999999" hidden="1" customHeight="1" x14ac:dyDescent="0.25">
      <c r="A753" s="11">
        <f t="shared" si="8"/>
        <v>8</v>
      </c>
      <c r="B753" s="963"/>
      <c r="C753" s="989" t="s">
        <v>430</v>
      </c>
      <c r="D753" s="936" t="s">
        <v>753</v>
      </c>
      <c r="E753" s="1068">
        <v>2.1</v>
      </c>
      <c r="F753" s="1039">
        <v>10080</v>
      </c>
      <c r="G753" s="359"/>
      <c r="H753" s="359"/>
      <c r="I753" s="360"/>
      <c r="J753" s="1014"/>
      <c r="K753" s="898"/>
      <c r="L753" s="911"/>
      <c r="M753" s="27"/>
      <c r="N753" s="27"/>
      <c r="O753" s="361"/>
      <c r="P753" s="362"/>
      <c r="Q753" s="27"/>
      <c r="R753" s="540"/>
      <c r="S753" s="9"/>
      <c r="T753" s="9"/>
      <c r="U753" s="9"/>
      <c r="V753" s="74"/>
      <c r="W753" s="9"/>
      <c r="X753" s="74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316"/>
      <c r="AQ753" s="8"/>
    </row>
    <row r="754" spans="1:43" ht="29.65" hidden="1" customHeight="1" x14ac:dyDescent="0.25">
      <c r="A754" s="11">
        <f t="shared" si="8"/>
        <v>9</v>
      </c>
      <c r="B754" s="963"/>
      <c r="C754" s="989" t="s">
        <v>991</v>
      </c>
      <c r="D754" s="936" t="s">
        <v>754</v>
      </c>
      <c r="E754" s="1068">
        <v>2</v>
      </c>
      <c r="F754" s="1039">
        <v>9700</v>
      </c>
      <c r="G754" s="359"/>
      <c r="H754" s="359"/>
      <c r="I754" s="360"/>
      <c r="J754" s="1014"/>
      <c r="K754" s="898"/>
      <c r="L754" s="911"/>
      <c r="M754" s="27"/>
      <c r="N754" s="27"/>
      <c r="O754" s="361"/>
      <c r="P754" s="362"/>
      <c r="Q754" s="27"/>
      <c r="R754" s="540"/>
      <c r="S754" s="9"/>
      <c r="T754" s="9"/>
      <c r="U754" s="9"/>
      <c r="V754" s="74"/>
      <c r="W754" s="9"/>
      <c r="X754" s="74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316"/>
      <c r="AQ754" s="8"/>
    </row>
    <row r="755" spans="1:43" ht="16.7" hidden="1" customHeight="1" x14ac:dyDescent="0.25">
      <c r="A755" s="11">
        <f t="shared" si="8"/>
        <v>10</v>
      </c>
      <c r="B755" s="963"/>
      <c r="C755" s="989" t="s">
        <v>431</v>
      </c>
      <c r="D755" s="936" t="s">
        <v>755</v>
      </c>
      <c r="E755" s="1068">
        <v>1.44</v>
      </c>
      <c r="F755" s="1039">
        <v>5117</v>
      </c>
      <c r="G755" s="359"/>
      <c r="H755" s="359"/>
      <c r="I755" s="360"/>
      <c r="J755" s="1014"/>
      <c r="K755" s="898"/>
      <c r="L755" s="911"/>
      <c r="M755" s="27"/>
      <c r="N755" s="27"/>
      <c r="O755" s="361"/>
      <c r="P755" s="362"/>
      <c r="Q755" s="27"/>
      <c r="R755" s="540"/>
      <c r="S755" s="9"/>
      <c r="T755" s="9"/>
      <c r="U755" s="9"/>
      <c r="V755" s="74"/>
      <c r="W755" s="9"/>
      <c r="X755" s="74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316"/>
      <c r="AQ755" s="8"/>
    </row>
    <row r="756" spans="1:43" ht="20.25" hidden="1" customHeight="1" x14ac:dyDescent="0.25">
      <c r="A756" s="11"/>
      <c r="B756" s="963"/>
      <c r="C756" s="46" t="s">
        <v>889</v>
      </c>
      <c r="D756" s="936"/>
      <c r="E756" s="1068"/>
      <c r="F756" s="1039"/>
      <c r="G756" s="359"/>
      <c r="H756" s="359"/>
      <c r="I756" s="360"/>
      <c r="J756" s="1014"/>
      <c r="K756" s="898"/>
      <c r="L756" s="911"/>
      <c r="M756" s="27"/>
      <c r="N756" s="27"/>
      <c r="O756" s="361"/>
      <c r="P756" s="362"/>
      <c r="Q756" s="27"/>
      <c r="R756" s="540"/>
      <c r="S756" s="9"/>
      <c r="T756" s="9"/>
      <c r="U756" s="9"/>
      <c r="V756" s="74"/>
      <c r="W756" s="9"/>
      <c r="X756" s="74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316"/>
      <c r="AQ756" s="8"/>
    </row>
    <row r="757" spans="1:43" ht="21" hidden="1" customHeight="1" x14ac:dyDescent="0.25">
      <c r="A757" s="11">
        <f>A755+1</f>
        <v>11</v>
      </c>
      <c r="B757" s="963"/>
      <c r="C757" s="989" t="s">
        <v>432</v>
      </c>
      <c r="D757" s="936" t="s">
        <v>756</v>
      </c>
      <c r="E757" s="1068">
        <v>3.51</v>
      </c>
      <c r="F757" s="1039">
        <v>20071</v>
      </c>
      <c r="G757" s="359"/>
      <c r="H757" s="359"/>
      <c r="I757" s="360"/>
      <c r="J757" s="1014"/>
      <c r="K757" s="898"/>
      <c r="L757" s="911"/>
      <c r="M757" s="27"/>
      <c r="N757" s="27"/>
      <c r="O757" s="361"/>
      <c r="P757" s="362"/>
      <c r="Q757" s="27"/>
      <c r="R757" s="540"/>
      <c r="S757" s="9"/>
      <c r="T757" s="9"/>
      <c r="U757" s="9"/>
      <c r="V757" s="74"/>
      <c r="W757" s="9"/>
      <c r="X757" s="74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316"/>
      <c r="AQ757" s="8"/>
    </row>
    <row r="758" spans="1:43" ht="17.25" hidden="1" customHeight="1" thickBot="1" x14ac:dyDescent="0.3">
      <c r="A758" s="156">
        <f t="shared" si="8"/>
        <v>12</v>
      </c>
      <c r="B758" s="892"/>
      <c r="C758" s="1004" t="s">
        <v>992</v>
      </c>
      <c r="D758" s="998" t="s">
        <v>757</v>
      </c>
      <c r="E758" s="1040">
        <v>8.16</v>
      </c>
      <c r="F758" s="1036">
        <v>56536</v>
      </c>
      <c r="G758" s="367"/>
      <c r="H758" s="367"/>
      <c r="I758" s="368"/>
      <c r="J758" s="1071"/>
      <c r="K758" s="885"/>
      <c r="L758" s="1087"/>
      <c r="M758" s="1127"/>
      <c r="N758" s="1127"/>
      <c r="O758" s="370"/>
      <c r="P758" s="371"/>
      <c r="Q758" s="1127"/>
      <c r="R758" s="660"/>
      <c r="S758" s="1045"/>
      <c r="T758" s="1045"/>
      <c r="U758" s="1045"/>
      <c r="V758" s="234"/>
      <c r="W758" s="1045"/>
      <c r="X758" s="234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51"/>
      <c r="AN758" s="51"/>
      <c r="AO758" s="51"/>
      <c r="AP758" s="316"/>
      <c r="AQ758" s="8"/>
    </row>
    <row r="759" spans="1:43" ht="76.150000000000006" customHeight="1" x14ac:dyDescent="0.25">
      <c r="A759" s="1331">
        <v>24</v>
      </c>
      <c r="B759" s="1554">
        <v>1960064</v>
      </c>
      <c r="C759" s="1353" t="s">
        <v>1111</v>
      </c>
      <c r="D759" s="1195" t="s">
        <v>758</v>
      </c>
      <c r="E759" s="1526">
        <v>6.5640000000000001</v>
      </c>
      <c r="F759" s="1829">
        <v>42038.5</v>
      </c>
      <c r="G759" s="1166" t="s">
        <v>1071</v>
      </c>
      <c r="H759" s="1166" t="s">
        <v>1119</v>
      </c>
      <c r="I759" s="1207" t="s">
        <v>7</v>
      </c>
      <c r="J759" s="181"/>
      <c r="K759" s="182" t="s">
        <v>2</v>
      </c>
      <c r="L759" s="1705">
        <v>42885.146999999997</v>
      </c>
      <c r="M759" s="1166" t="s">
        <v>1071</v>
      </c>
      <c r="N759" s="1166" t="s">
        <v>1119</v>
      </c>
      <c r="O759" s="1207" t="s">
        <v>7</v>
      </c>
      <c r="P759" s="167">
        <v>6.5640000000000001</v>
      </c>
      <c r="Q759" s="388" t="s">
        <v>2</v>
      </c>
      <c r="R759" s="1705">
        <f>102477.936-R764-R765</f>
        <v>101821.76299999999</v>
      </c>
      <c r="S759" s="1166" t="s">
        <v>1071</v>
      </c>
      <c r="T759" s="1166" t="s">
        <v>1119</v>
      </c>
      <c r="U759" s="1207" t="s">
        <v>1181</v>
      </c>
      <c r="V759" s="1064"/>
      <c r="W759" s="389" t="s">
        <v>2</v>
      </c>
      <c r="X759" s="1705">
        <v>3105.9490000000001</v>
      </c>
      <c r="Y759" s="1208" t="s">
        <v>1071</v>
      </c>
      <c r="Z759" s="1208" t="s">
        <v>1119</v>
      </c>
      <c r="AA759" s="1207" t="s">
        <v>1181</v>
      </c>
      <c r="AB759" s="968"/>
      <c r="AC759" s="881" t="s">
        <v>2</v>
      </c>
      <c r="AD759" s="1445">
        <v>3251.9290000000001</v>
      </c>
      <c r="AE759" s="1208" t="s">
        <v>1071</v>
      </c>
      <c r="AF759" s="1208" t="s">
        <v>1119</v>
      </c>
      <c r="AG759" s="1207" t="s">
        <v>1181</v>
      </c>
      <c r="AH759" s="968"/>
      <c r="AI759" s="389" t="s">
        <v>2</v>
      </c>
      <c r="AJ759" s="1191">
        <v>3411.2739999999999</v>
      </c>
      <c r="AK759" s="477"/>
      <c r="AL759" s="265"/>
      <c r="AM759" s="195"/>
      <c r="AN759" s="969"/>
      <c r="AO759" s="1073"/>
      <c r="AP759" s="152"/>
      <c r="AQ759" s="1158" t="s">
        <v>1217</v>
      </c>
    </row>
    <row r="760" spans="1:43" ht="76.150000000000006" customHeight="1" x14ac:dyDescent="0.25">
      <c r="A760" s="1332"/>
      <c r="B760" s="1555"/>
      <c r="C760" s="1304"/>
      <c r="D760" s="1196"/>
      <c r="E760" s="1527"/>
      <c r="F760" s="1830"/>
      <c r="G760" s="1167"/>
      <c r="H760" s="1167"/>
      <c r="I760" s="1157"/>
      <c r="J760" s="1121"/>
      <c r="K760" s="318" t="s">
        <v>3</v>
      </c>
      <c r="L760" s="1706"/>
      <c r="M760" s="1167"/>
      <c r="N760" s="1167"/>
      <c r="O760" s="1157"/>
      <c r="P760" s="966">
        <v>39384</v>
      </c>
      <c r="Q760" s="18" t="s">
        <v>3</v>
      </c>
      <c r="R760" s="1706"/>
      <c r="S760" s="1167"/>
      <c r="T760" s="1167"/>
      <c r="U760" s="1157"/>
      <c r="V760" s="969"/>
      <c r="W760" s="1073" t="s">
        <v>3</v>
      </c>
      <c r="X760" s="1706"/>
      <c r="Y760" s="1209"/>
      <c r="Z760" s="1209"/>
      <c r="AA760" s="1157"/>
      <c r="AB760" s="969"/>
      <c r="AC760" s="882" t="s">
        <v>3</v>
      </c>
      <c r="AD760" s="1446"/>
      <c r="AE760" s="1209"/>
      <c r="AF760" s="1209"/>
      <c r="AG760" s="1157"/>
      <c r="AH760" s="969"/>
      <c r="AI760" s="1073" t="s">
        <v>3</v>
      </c>
      <c r="AJ760" s="1192"/>
      <c r="AK760" s="477"/>
      <c r="AL760" s="265"/>
      <c r="AM760" s="195"/>
      <c r="AN760" s="969"/>
      <c r="AO760" s="1073"/>
      <c r="AP760" s="152"/>
      <c r="AQ760" s="1159"/>
    </row>
    <row r="761" spans="1:43" ht="24.4" hidden="1" customHeight="1" x14ac:dyDescent="0.25">
      <c r="A761" s="1332"/>
      <c r="B761" s="1555"/>
      <c r="C761" s="1304"/>
      <c r="D761" s="1196"/>
      <c r="E761" s="1527"/>
      <c r="F761" s="1830"/>
      <c r="G761" s="1167"/>
      <c r="H761" s="1167"/>
      <c r="I761" s="24"/>
      <c r="J761" s="1121"/>
      <c r="K761" s="318"/>
      <c r="L761" s="911"/>
      <c r="M761" s="1167"/>
      <c r="N761" s="1167"/>
      <c r="O761" s="877"/>
      <c r="P761" s="672"/>
      <c r="Q761" s="18"/>
      <c r="R761" s="1007"/>
      <c r="S761" s="1167"/>
      <c r="T761" s="1167"/>
      <c r="U761" s="877"/>
      <c r="V761" s="969"/>
      <c r="W761" s="1073"/>
      <c r="X761" s="911"/>
      <c r="Y761" s="1209"/>
      <c r="Z761" s="1209"/>
      <c r="AA761" s="877"/>
      <c r="AB761" s="969"/>
      <c r="AC761" s="882"/>
      <c r="AD761" s="911"/>
      <c r="AE761" s="969"/>
      <c r="AF761" s="969"/>
      <c r="AG761" s="877"/>
      <c r="AH761" s="969"/>
      <c r="AI761" s="1073"/>
      <c r="AJ761" s="923"/>
      <c r="AK761" s="478"/>
      <c r="AL761" s="272"/>
      <c r="AM761" s="195"/>
      <c r="AN761" s="969"/>
      <c r="AO761" s="1073"/>
      <c r="AP761" s="273"/>
      <c r="AQ761" s="8"/>
    </row>
    <row r="762" spans="1:43" ht="24.4" hidden="1" customHeight="1" x14ac:dyDescent="0.25">
      <c r="A762" s="1332"/>
      <c r="B762" s="1555"/>
      <c r="C762" s="1304"/>
      <c r="D762" s="1196"/>
      <c r="E762" s="1527"/>
      <c r="F762" s="1830"/>
      <c r="G762" s="1167"/>
      <c r="H762" s="1167"/>
      <c r="I762" s="24"/>
      <c r="J762" s="1121"/>
      <c r="K762" s="318"/>
      <c r="L762" s="911"/>
      <c r="M762" s="1167"/>
      <c r="N762" s="1167"/>
      <c r="O762" s="877"/>
      <c r="P762" s="672"/>
      <c r="Q762" s="18"/>
      <c r="R762" s="1007">
        <f>R759</f>
        <v>101821.76299999999</v>
      </c>
      <c r="S762" s="1167"/>
      <c r="T762" s="1167"/>
      <c r="U762" s="877"/>
      <c r="V762" s="969"/>
      <c r="W762" s="1073"/>
      <c r="X762" s="911"/>
      <c r="Y762" s="1209"/>
      <c r="Z762" s="1209"/>
      <c r="AA762" s="877"/>
      <c r="AB762" s="969"/>
      <c r="AC762" s="882"/>
      <c r="AD762" s="911"/>
      <c r="AE762" s="969"/>
      <c r="AF762" s="969"/>
      <c r="AG762" s="877"/>
      <c r="AH762" s="969"/>
      <c r="AI762" s="1073"/>
      <c r="AJ762" s="923"/>
      <c r="AK762" s="478"/>
      <c r="AL762" s="272"/>
      <c r="AM762" s="195"/>
      <c r="AN762" s="969"/>
      <c r="AO762" s="1073"/>
      <c r="AP762" s="273"/>
      <c r="AQ762" s="8"/>
    </row>
    <row r="763" spans="1:43" ht="24.4" hidden="1" customHeight="1" thickBot="1" x14ac:dyDescent="0.3">
      <c r="A763" s="1332"/>
      <c r="B763" s="1555"/>
      <c r="C763" s="1304"/>
      <c r="D763" s="1196"/>
      <c r="E763" s="1527"/>
      <c r="F763" s="1830"/>
      <c r="G763" s="1167"/>
      <c r="H763" s="1167"/>
      <c r="I763" s="24"/>
      <c r="J763" s="1121"/>
      <c r="K763" s="318"/>
      <c r="L763" s="911">
        <f>37885.147+5000</f>
        <v>42885.146999999997</v>
      </c>
      <c r="M763" s="1167"/>
      <c r="N763" s="1167"/>
      <c r="O763" s="877"/>
      <c r="P763" s="672"/>
      <c r="Q763" s="18"/>
      <c r="R763" s="1007"/>
      <c r="S763" s="1167"/>
      <c r="T763" s="1167"/>
      <c r="U763" s="877"/>
      <c r="V763" s="969"/>
      <c r="W763" s="1073"/>
      <c r="X763" s="911"/>
      <c r="Y763" s="1209"/>
      <c r="Z763" s="1209"/>
      <c r="AA763" s="877"/>
      <c r="AB763" s="969"/>
      <c r="AC763" s="882"/>
      <c r="AD763" s="911"/>
      <c r="AE763" s="969"/>
      <c r="AF763" s="969"/>
      <c r="AG763" s="877"/>
      <c r="AH763" s="969"/>
      <c r="AI763" s="1073"/>
      <c r="AJ763" s="923"/>
      <c r="AK763" s="478"/>
      <c r="AL763" s="272"/>
      <c r="AM763" s="195"/>
      <c r="AN763" s="969"/>
      <c r="AO763" s="1073"/>
      <c r="AP763" s="273"/>
      <c r="AQ763" s="8"/>
    </row>
    <row r="764" spans="1:43" ht="24.4" customHeight="1" x14ac:dyDescent="0.25">
      <c r="A764" s="1332"/>
      <c r="B764" s="1555"/>
      <c r="C764" s="1304"/>
      <c r="D764" s="1196"/>
      <c r="E764" s="1527"/>
      <c r="F764" s="1830"/>
      <c r="G764" s="1167"/>
      <c r="H764" s="1167"/>
      <c r="I764" s="1053" t="s">
        <v>8</v>
      </c>
      <c r="J764" s="1042"/>
      <c r="K764" s="318" t="s">
        <v>2</v>
      </c>
      <c r="L764" s="67">
        <v>0</v>
      </c>
      <c r="M764" s="1167"/>
      <c r="N764" s="1167"/>
      <c r="O764" s="1053" t="s">
        <v>8</v>
      </c>
      <c r="P764" s="1042">
        <v>13.255000000000001</v>
      </c>
      <c r="Q764" s="318" t="s">
        <v>2</v>
      </c>
      <c r="R764" s="911">
        <v>229.11099999999999</v>
      </c>
      <c r="S764" s="1167"/>
      <c r="T764" s="1167"/>
      <c r="U764" s="1053" t="s">
        <v>8</v>
      </c>
      <c r="V764" s="1042"/>
      <c r="W764" s="318" t="s">
        <v>2</v>
      </c>
      <c r="X764" s="67">
        <v>0</v>
      </c>
      <c r="Y764" s="1209"/>
      <c r="Z764" s="1209"/>
      <c r="AA764" s="1053" t="s">
        <v>8</v>
      </c>
      <c r="AB764" s="1042"/>
      <c r="AC764" s="318" t="s">
        <v>2</v>
      </c>
      <c r="AD764" s="67">
        <v>0</v>
      </c>
      <c r="AE764" s="969"/>
      <c r="AF764" s="969"/>
      <c r="AG764" s="1053" t="s">
        <v>8</v>
      </c>
      <c r="AH764" s="1042"/>
      <c r="AI764" s="318" t="s">
        <v>2</v>
      </c>
      <c r="AJ764" s="920">
        <v>0</v>
      </c>
      <c r="AK764" s="478"/>
      <c r="AL764" s="272"/>
      <c r="AM764" s="195"/>
      <c r="AN764" s="969"/>
      <c r="AO764" s="1073"/>
      <c r="AP764" s="273"/>
      <c r="AQ764" s="8"/>
    </row>
    <row r="765" spans="1:43" ht="37.35" customHeight="1" thickBot="1" x14ac:dyDescent="0.3">
      <c r="A765" s="1333"/>
      <c r="B765" s="1556"/>
      <c r="C765" s="1194"/>
      <c r="D765" s="1197"/>
      <c r="E765" s="1528"/>
      <c r="F765" s="1831"/>
      <c r="G765" s="1168"/>
      <c r="H765" s="1168"/>
      <c r="I765" s="891" t="s">
        <v>1219</v>
      </c>
      <c r="J765" s="1051"/>
      <c r="K765" s="889" t="s">
        <v>1080</v>
      </c>
      <c r="L765" s="943">
        <v>0</v>
      </c>
      <c r="M765" s="1168"/>
      <c r="N765" s="1168"/>
      <c r="O765" s="891" t="s">
        <v>1219</v>
      </c>
      <c r="P765" s="1051">
        <v>122</v>
      </c>
      <c r="Q765" s="889" t="s">
        <v>1080</v>
      </c>
      <c r="R765" s="943">
        <v>427.06200000000001</v>
      </c>
      <c r="S765" s="1168"/>
      <c r="T765" s="1168"/>
      <c r="U765" s="891" t="s">
        <v>1219</v>
      </c>
      <c r="V765" s="1051"/>
      <c r="W765" s="889" t="s">
        <v>1080</v>
      </c>
      <c r="X765" s="943">
        <v>0</v>
      </c>
      <c r="Y765" s="1210"/>
      <c r="Z765" s="1210"/>
      <c r="AA765" s="891" t="s">
        <v>1219</v>
      </c>
      <c r="AB765" s="1051"/>
      <c r="AC765" s="889" t="s">
        <v>1080</v>
      </c>
      <c r="AD765" s="943">
        <v>0</v>
      </c>
      <c r="AE765" s="970"/>
      <c r="AF765" s="970"/>
      <c r="AG765" s="891" t="s">
        <v>1219</v>
      </c>
      <c r="AH765" s="1051"/>
      <c r="AI765" s="889" t="s">
        <v>1080</v>
      </c>
      <c r="AJ765" s="861">
        <v>0</v>
      </c>
      <c r="AK765" s="478"/>
      <c r="AL765" s="272"/>
      <c r="AM765" s="195"/>
      <c r="AN765" s="969"/>
      <c r="AO765" s="1073"/>
      <c r="AP765" s="273"/>
      <c r="AQ765" s="8"/>
    </row>
    <row r="766" spans="1:43" ht="14.85" hidden="1" customHeight="1" x14ac:dyDescent="0.25">
      <c r="A766" s="61">
        <f>A759+1</f>
        <v>25</v>
      </c>
      <c r="B766" s="893"/>
      <c r="C766" s="996" t="s">
        <v>433</v>
      </c>
      <c r="D766" s="936" t="s">
        <v>759</v>
      </c>
      <c r="E766" s="991">
        <v>33.1</v>
      </c>
      <c r="F766" s="1037">
        <v>218764</v>
      </c>
      <c r="G766" s="369"/>
      <c r="H766" s="369"/>
      <c r="I766" s="360"/>
      <c r="J766" s="1072"/>
      <c r="K766" s="898"/>
      <c r="L766" s="912"/>
      <c r="M766" s="1128"/>
      <c r="N766" s="1128"/>
      <c r="O766" s="372"/>
      <c r="P766" s="232"/>
      <c r="Q766" s="1128"/>
      <c r="R766" s="661"/>
      <c r="S766" s="1046"/>
      <c r="T766" s="1046"/>
      <c r="U766" s="1046"/>
      <c r="V766" s="232"/>
      <c r="W766" s="1046"/>
      <c r="X766" s="232"/>
      <c r="Y766" s="319"/>
      <c r="Z766" s="319"/>
      <c r="AA766" s="319"/>
      <c r="AB766" s="319"/>
      <c r="AC766" s="319"/>
      <c r="AD766" s="319"/>
      <c r="AE766" s="319"/>
      <c r="AF766" s="319"/>
      <c r="AG766" s="319"/>
      <c r="AH766" s="319"/>
      <c r="AI766" s="319"/>
      <c r="AJ766" s="319"/>
      <c r="AK766" s="319"/>
      <c r="AL766" s="319"/>
      <c r="AM766" s="51"/>
      <c r="AN766" s="51"/>
      <c r="AO766" s="51"/>
      <c r="AP766" s="316"/>
      <c r="AQ766" s="8"/>
    </row>
    <row r="767" spans="1:43" ht="14.85" hidden="1" customHeight="1" x14ac:dyDescent="0.25">
      <c r="A767" s="11">
        <f t="shared" si="8"/>
        <v>26</v>
      </c>
      <c r="B767" s="963"/>
      <c r="C767" s="989" t="s">
        <v>434</v>
      </c>
      <c r="D767" s="936" t="s">
        <v>760</v>
      </c>
      <c r="E767" s="1068">
        <v>6.9349999999999996</v>
      </c>
      <c r="F767" s="1039">
        <v>40235</v>
      </c>
      <c r="G767" s="359"/>
      <c r="H767" s="359"/>
      <c r="I767" s="360"/>
      <c r="J767" s="1014"/>
      <c r="K767" s="898"/>
      <c r="L767" s="911"/>
      <c r="M767" s="27"/>
      <c r="N767" s="27"/>
      <c r="O767" s="361"/>
      <c r="P767" s="74"/>
      <c r="Q767" s="27"/>
      <c r="R767" s="540"/>
      <c r="S767" s="9"/>
      <c r="T767" s="9"/>
      <c r="U767" s="9"/>
      <c r="V767" s="74"/>
      <c r="W767" s="9"/>
      <c r="X767" s="74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316"/>
      <c r="AQ767" s="8"/>
    </row>
    <row r="768" spans="1:43" ht="16.7" hidden="1" customHeight="1" x14ac:dyDescent="0.25">
      <c r="A768" s="11">
        <f t="shared" si="8"/>
        <v>27</v>
      </c>
      <c r="B768" s="963"/>
      <c r="C768" s="989" t="s">
        <v>435</v>
      </c>
      <c r="D768" s="936" t="s">
        <v>761</v>
      </c>
      <c r="E768" s="1068">
        <v>8.74</v>
      </c>
      <c r="F768" s="1039">
        <v>59395</v>
      </c>
      <c r="G768" s="359"/>
      <c r="H768" s="359"/>
      <c r="I768" s="360"/>
      <c r="J768" s="1014"/>
      <c r="K768" s="898"/>
      <c r="L768" s="911"/>
      <c r="M768" s="27"/>
      <c r="N768" s="27"/>
      <c r="O768" s="361"/>
      <c r="P768" s="74"/>
      <c r="Q768" s="27"/>
      <c r="R768" s="540"/>
      <c r="S768" s="9"/>
      <c r="T768" s="9"/>
      <c r="U768" s="9"/>
      <c r="V768" s="74"/>
      <c r="W768" s="9"/>
      <c r="X768" s="74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316"/>
      <c r="AQ768" s="8"/>
    </row>
    <row r="769" spans="1:43" ht="16.149999999999999" hidden="1" customHeight="1" x14ac:dyDescent="0.25">
      <c r="A769" s="11">
        <f t="shared" si="8"/>
        <v>28</v>
      </c>
      <c r="B769" s="963"/>
      <c r="C769" s="989" t="s">
        <v>436</v>
      </c>
      <c r="D769" s="936" t="s">
        <v>762</v>
      </c>
      <c r="E769" s="1068">
        <v>1.431</v>
      </c>
      <c r="F769" s="1039">
        <v>9035</v>
      </c>
      <c r="G769" s="359"/>
      <c r="H769" s="359"/>
      <c r="I769" s="360"/>
      <c r="J769" s="1014"/>
      <c r="K769" s="898"/>
      <c r="L769" s="911"/>
      <c r="M769" s="27"/>
      <c r="N769" s="27"/>
      <c r="O769" s="361"/>
      <c r="P769" s="74"/>
      <c r="Q769" s="27"/>
      <c r="R769" s="540"/>
      <c r="S769" s="9"/>
      <c r="T769" s="9"/>
      <c r="U769" s="9"/>
      <c r="V769" s="74"/>
      <c r="W769" s="9"/>
      <c r="X769" s="74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316"/>
      <c r="AQ769" s="8"/>
    </row>
    <row r="770" spans="1:43" ht="16.149999999999999" hidden="1" customHeight="1" x14ac:dyDescent="0.25">
      <c r="A770" s="11"/>
      <c r="B770" s="963"/>
      <c r="C770" s="46" t="s">
        <v>890</v>
      </c>
      <c r="D770" s="936"/>
      <c r="E770" s="1040"/>
      <c r="F770" s="1036"/>
      <c r="G770" s="359"/>
      <c r="H770" s="359"/>
      <c r="I770" s="360"/>
      <c r="J770" s="1014"/>
      <c r="K770" s="898"/>
      <c r="L770" s="911"/>
      <c r="M770" s="27"/>
      <c r="N770" s="27"/>
      <c r="O770" s="361"/>
      <c r="P770" s="74"/>
      <c r="Q770" s="27"/>
      <c r="R770" s="540"/>
      <c r="S770" s="9"/>
      <c r="T770" s="9"/>
      <c r="U770" s="9"/>
      <c r="V770" s="74"/>
      <c r="W770" s="9"/>
      <c r="X770" s="74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316"/>
      <c r="AQ770" s="8"/>
    </row>
    <row r="771" spans="1:43" ht="19.899999999999999" hidden="1" customHeight="1" x14ac:dyDescent="0.25">
      <c r="A771" s="11">
        <f>A769+1</f>
        <v>29</v>
      </c>
      <c r="B771" s="963"/>
      <c r="C771" s="989" t="s">
        <v>437</v>
      </c>
      <c r="D771" s="936" t="s">
        <v>763</v>
      </c>
      <c r="E771" s="1068">
        <v>34.299999999999997</v>
      </c>
      <c r="F771" s="1039">
        <v>185904</v>
      </c>
      <c r="G771" s="359"/>
      <c r="H771" s="359"/>
      <c r="I771" s="360"/>
      <c r="J771" s="1014"/>
      <c r="K771" s="898"/>
      <c r="L771" s="911"/>
      <c r="M771" s="27"/>
      <c r="N771" s="27"/>
      <c r="O771" s="361"/>
      <c r="P771" s="74"/>
      <c r="Q771" s="27"/>
      <c r="R771" s="540"/>
      <c r="S771" s="9"/>
      <c r="T771" s="9"/>
      <c r="U771" s="9"/>
      <c r="V771" s="74"/>
      <c r="W771" s="9"/>
      <c r="X771" s="74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316"/>
      <c r="AQ771" s="8"/>
    </row>
    <row r="772" spans="1:43" ht="17.649999999999999" hidden="1" customHeight="1" x14ac:dyDescent="0.25">
      <c r="A772" s="11">
        <f t="shared" si="8"/>
        <v>30</v>
      </c>
      <c r="B772" s="963"/>
      <c r="C772" s="989" t="s">
        <v>993</v>
      </c>
      <c r="D772" s="936" t="s">
        <v>764</v>
      </c>
      <c r="E772" s="1068">
        <v>4.4800000000000004</v>
      </c>
      <c r="F772" s="1039">
        <v>17659</v>
      </c>
      <c r="G772" s="359"/>
      <c r="H772" s="359"/>
      <c r="I772" s="360"/>
      <c r="J772" s="1014"/>
      <c r="K772" s="898"/>
      <c r="L772" s="911"/>
      <c r="M772" s="27"/>
      <c r="N772" s="27"/>
      <c r="O772" s="361"/>
      <c r="P772" s="74"/>
      <c r="Q772" s="27"/>
      <c r="R772" s="540"/>
      <c r="S772" s="9"/>
      <c r="T772" s="9"/>
      <c r="U772" s="9"/>
      <c r="V772" s="74"/>
      <c r="W772" s="9"/>
      <c r="X772" s="74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316"/>
      <c r="AQ772" s="8"/>
    </row>
    <row r="773" spans="1:43" ht="18.600000000000001" hidden="1" customHeight="1" x14ac:dyDescent="0.25">
      <c r="A773" s="11">
        <f t="shared" si="8"/>
        <v>31</v>
      </c>
      <c r="B773" s="963"/>
      <c r="C773" s="989" t="s">
        <v>438</v>
      </c>
      <c r="D773" s="936" t="s">
        <v>765</v>
      </c>
      <c r="E773" s="1068">
        <v>16.8</v>
      </c>
      <c r="F773" s="1039">
        <v>103696</v>
      </c>
      <c r="G773" s="359"/>
      <c r="H773" s="359"/>
      <c r="I773" s="360"/>
      <c r="J773" s="1014"/>
      <c r="K773" s="898"/>
      <c r="L773" s="911"/>
      <c r="M773" s="27"/>
      <c r="N773" s="27"/>
      <c r="O773" s="361"/>
      <c r="P773" s="74"/>
      <c r="Q773" s="27"/>
      <c r="R773" s="540"/>
      <c r="S773" s="9"/>
      <c r="T773" s="9"/>
      <c r="U773" s="9"/>
      <c r="V773" s="74"/>
      <c r="W773" s="9"/>
      <c r="X773" s="74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316"/>
      <c r="AQ773" s="8"/>
    </row>
    <row r="774" spans="1:43" ht="29.65" hidden="1" customHeight="1" x14ac:dyDescent="0.25">
      <c r="A774" s="11">
        <f t="shared" si="8"/>
        <v>32</v>
      </c>
      <c r="B774" s="963"/>
      <c r="C774" s="989" t="s">
        <v>994</v>
      </c>
      <c r="D774" s="936" t="s">
        <v>766</v>
      </c>
      <c r="E774" s="1068">
        <v>2.1</v>
      </c>
      <c r="F774" s="1039">
        <v>12279</v>
      </c>
      <c r="G774" s="359"/>
      <c r="H774" s="359"/>
      <c r="I774" s="360"/>
      <c r="J774" s="1014"/>
      <c r="K774" s="898"/>
      <c r="L774" s="911"/>
      <c r="M774" s="27"/>
      <c r="N774" s="27"/>
      <c r="O774" s="361"/>
      <c r="P774" s="74"/>
      <c r="Q774" s="27"/>
      <c r="R774" s="540"/>
      <c r="S774" s="9"/>
      <c r="T774" s="9"/>
      <c r="U774" s="9"/>
      <c r="V774" s="74"/>
      <c r="W774" s="9"/>
      <c r="X774" s="74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316"/>
      <c r="AQ774" s="8"/>
    </row>
    <row r="775" spans="1:43" ht="18" hidden="1" customHeight="1" x14ac:dyDescent="0.25">
      <c r="A775" s="11">
        <f t="shared" si="8"/>
        <v>33</v>
      </c>
      <c r="B775" s="963"/>
      <c r="C775" s="989" t="s">
        <v>439</v>
      </c>
      <c r="D775" s="936" t="s">
        <v>767</v>
      </c>
      <c r="E775" s="1068">
        <v>7.1849999999999996</v>
      </c>
      <c r="F775" s="1039">
        <v>41665</v>
      </c>
      <c r="G775" s="359"/>
      <c r="H775" s="359"/>
      <c r="I775" s="360"/>
      <c r="J775" s="1014"/>
      <c r="K775" s="898"/>
      <c r="L775" s="911"/>
      <c r="M775" s="27"/>
      <c r="N775" s="27"/>
      <c r="O775" s="361"/>
      <c r="P775" s="74"/>
      <c r="Q775" s="27"/>
      <c r="R775" s="540"/>
      <c r="S775" s="9"/>
      <c r="T775" s="9"/>
      <c r="U775" s="9"/>
      <c r="V775" s="74"/>
      <c r="W775" s="9"/>
      <c r="X775" s="74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316"/>
      <c r="AQ775" s="8"/>
    </row>
    <row r="776" spans="1:43" ht="17.649999999999999" hidden="1" customHeight="1" x14ac:dyDescent="0.25">
      <c r="A776" s="11">
        <f t="shared" si="8"/>
        <v>34</v>
      </c>
      <c r="B776" s="963"/>
      <c r="C776" s="989" t="s">
        <v>440</v>
      </c>
      <c r="D776" s="936" t="s">
        <v>768</v>
      </c>
      <c r="E776" s="1068">
        <v>7.93</v>
      </c>
      <c r="F776" s="1039">
        <v>36920</v>
      </c>
      <c r="G776" s="359"/>
      <c r="H776" s="359"/>
      <c r="I776" s="360"/>
      <c r="J776" s="1014"/>
      <c r="K776" s="898"/>
      <c r="L776" s="911"/>
      <c r="M776" s="27"/>
      <c r="N776" s="27"/>
      <c r="O776" s="361"/>
      <c r="P776" s="74"/>
      <c r="Q776" s="27"/>
      <c r="R776" s="540"/>
      <c r="S776" s="9"/>
      <c r="T776" s="9"/>
      <c r="U776" s="9"/>
      <c r="V776" s="74"/>
      <c r="W776" s="9"/>
      <c r="X776" s="74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316"/>
      <c r="AQ776" s="8"/>
    </row>
    <row r="777" spans="1:43" ht="27.6" hidden="1" customHeight="1" x14ac:dyDescent="0.25">
      <c r="A777" s="11">
        <f t="shared" si="8"/>
        <v>35</v>
      </c>
      <c r="B777" s="963"/>
      <c r="C777" s="989" t="s">
        <v>995</v>
      </c>
      <c r="D777" s="936" t="s">
        <v>769</v>
      </c>
      <c r="E777" s="1068">
        <v>7.84</v>
      </c>
      <c r="F777" s="1039">
        <v>35823</v>
      </c>
      <c r="G777" s="359"/>
      <c r="H777" s="359"/>
      <c r="I777" s="360"/>
      <c r="J777" s="1014"/>
      <c r="K777" s="898"/>
      <c r="L777" s="911"/>
      <c r="M777" s="27"/>
      <c r="N777" s="27"/>
      <c r="O777" s="361"/>
      <c r="P777" s="74"/>
      <c r="Q777" s="27"/>
      <c r="R777" s="540"/>
      <c r="S777" s="9"/>
      <c r="T777" s="9"/>
      <c r="U777" s="9"/>
      <c r="V777" s="74"/>
      <c r="W777" s="9"/>
      <c r="X777" s="74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316"/>
      <c r="AQ777" s="8"/>
    </row>
    <row r="778" spans="1:43" ht="28.35" hidden="1" customHeight="1" x14ac:dyDescent="0.25">
      <c r="A778" s="11">
        <f t="shared" si="8"/>
        <v>36</v>
      </c>
      <c r="B778" s="963"/>
      <c r="C778" s="989" t="s">
        <v>996</v>
      </c>
      <c r="D778" s="936" t="s">
        <v>770</v>
      </c>
      <c r="E778" s="1068">
        <v>4.18</v>
      </c>
      <c r="F778" s="1039">
        <v>18702</v>
      </c>
      <c r="G778" s="359"/>
      <c r="H778" s="359"/>
      <c r="I778" s="360"/>
      <c r="J778" s="1014"/>
      <c r="K778" s="898"/>
      <c r="L778" s="911"/>
      <c r="M778" s="27"/>
      <c r="N778" s="27"/>
      <c r="O778" s="361"/>
      <c r="P778" s="74"/>
      <c r="Q778" s="27"/>
      <c r="R778" s="540"/>
      <c r="S778" s="9"/>
      <c r="T778" s="9"/>
      <c r="U778" s="9"/>
      <c r="V778" s="74"/>
      <c r="W778" s="9"/>
      <c r="X778" s="74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316"/>
      <c r="AQ778" s="8"/>
    </row>
    <row r="779" spans="1:43" ht="30.2" hidden="1" customHeight="1" x14ac:dyDescent="0.25">
      <c r="A779" s="11">
        <f t="shared" si="8"/>
        <v>37</v>
      </c>
      <c r="B779" s="963"/>
      <c r="C779" s="989" t="s">
        <v>997</v>
      </c>
      <c r="D779" s="936" t="s">
        <v>771</v>
      </c>
      <c r="E779" s="1068">
        <v>3.5</v>
      </c>
      <c r="F779" s="1039">
        <v>16351</v>
      </c>
      <c r="G779" s="359"/>
      <c r="H779" s="359"/>
      <c r="I779" s="360"/>
      <c r="J779" s="1014"/>
      <c r="K779" s="898"/>
      <c r="L779" s="911"/>
      <c r="M779" s="27"/>
      <c r="N779" s="27"/>
      <c r="O779" s="361"/>
      <c r="P779" s="74"/>
      <c r="Q779" s="27"/>
      <c r="R779" s="540"/>
      <c r="S779" s="9"/>
      <c r="T779" s="9"/>
      <c r="U779" s="9"/>
      <c r="V779" s="74"/>
      <c r="W779" s="9"/>
      <c r="X779" s="74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316"/>
      <c r="AQ779" s="8"/>
    </row>
    <row r="780" spans="1:43" ht="16.149999999999999" hidden="1" customHeight="1" x14ac:dyDescent="0.25">
      <c r="A780" s="11">
        <f t="shared" si="8"/>
        <v>38</v>
      </c>
      <c r="B780" s="963"/>
      <c r="C780" s="989" t="s">
        <v>998</v>
      </c>
      <c r="D780" s="936" t="s">
        <v>772</v>
      </c>
      <c r="E780" s="1068">
        <v>1.639</v>
      </c>
      <c r="F780" s="1039">
        <v>10351</v>
      </c>
      <c r="G780" s="359"/>
      <c r="H780" s="359"/>
      <c r="I780" s="360"/>
      <c r="J780" s="1014"/>
      <c r="K780" s="898"/>
      <c r="L780" s="911"/>
      <c r="M780" s="27"/>
      <c r="N780" s="27"/>
      <c r="O780" s="361"/>
      <c r="P780" s="74"/>
      <c r="Q780" s="27"/>
      <c r="R780" s="540"/>
      <c r="S780" s="9"/>
      <c r="T780" s="9"/>
      <c r="U780" s="9"/>
      <c r="V780" s="74"/>
      <c r="W780" s="9"/>
      <c r="X780" s="74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316"/>
      <c r="AQ780" s="8"/>
    </row>
    <row r="781" spans="1:43" ht="14.85" hidden="1" customHeight="1" x14ac:dyDescent="0.25">
      <c r="A781" s="11">
        <f t="shared" si="8"/>
        <v>39</v>
      </c>
      <c r="B781" s="963"/>
      <c r="C781" s="989" t="s">
        <v>999</v>
      </c>
      <c r="D781" s="936" t="s">
        <v>773</v>
      </c>
      <c r="E781" s="1068">
        <v>2.6</v>
      </c>
      <c r="F781" s="1039">
        <v>12318</v>
      </c>
      <c r="G781" s="359"/>
      <c r="H781" s="359"/>
      <c r="I781" s="360"/>
      <c r="J781" s="1014"/>
      <c r="K781" s="898"/>
      <c r="L781" s="911"/>
      <c r="M781" s="27"/>
      <c r="N781" s="27"/>
      <c r="O781" s="361"/>
      <c r="P781" s="74"/>
      <c r="Q781" s="27"/>
      <c r="R781" s="540"/>
      <c r="S781" s="9"/>
      <c r="T781" s="9"/>
      <c r="U781" s="9"/>
      <c r="V781" s="74"/>
      <c r="W781" s="9"/>
      <c r="X781" s="74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316"/>
      <c r="AQ781" s="8"/>
    </row>
    <row r="782" spans="1:43" ht="16.149999999999999" hidden="1" customHeight="1" x14ac:dyDescent="0.25">
      <c r="A782" s="11">
        <f t="shared" si="8"/>
        <v>40</v>
      </c>
      <c r="B782" s="963"/>
      <c r="C782" s="989" t="s">
        <v>1000</v>
      </c>
      <c r="D782" s="936" t="s">
        <v>774</v>
      </c>
      <c r="E782" s="1068">
        <v>1.1000000000000001</v>
      </c>
      <c r="F782" s="1039">
        <v>6770</v>
      </c>
      <c r="G782" s="359"/>
      <c r="H782" s="359"/>
      <c r="I782" s="360"/>
      <c r="J782" s="1014"/>
      <c r="K782" s="898"/>
      <c r="L782" s="911"/>
      <c r="M782" s="27"/>
      <c r="N782" s="27"/>
      <c r="O782" s="361"/>
      <c r="P782" s="74"/>
      <c r="Q782" s="27"/>
      <c r="R782" s="540"/>
      <c r="S782" s="9"/>
      <c r="T782" s="9"/>
      <c r="U782" s="9"/>
      <c r="V782" s="74"/>
      <c r="W782" s="9"/>
      <c r="X782" s="74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316"/>
      <c r="AQ782" s="8"/>
    </row>
    <row r="783" spans="1:43" ht="14.1" hidden="1" customHeight="1" x14ac:dyDescent="0.25">
      <c r="A783" s="11">
        <f t="shared" si="8"/>
        <v>41</v>
      </c>
      <c r="B783" s="963"/>
      <c r="C783" s="989" t="s">
        <v>441</v>
      </c>
      <c r="D783" s="936" t="s">
        <v>775</v>
      </c>
      <c r="E783" s="1068">
        <v>5.5</v>
      </c>
      <c r="F783" s="1039">
        <v>33488</v>
      </c>
      <c r="G783" s="359"/>
      <c r="H783" s="359"/>
      <c r="I783" s="360"/>
      <c r="J783" s="1014"/>
      <c r="K783" s="898"/>
      <c r="L783" s="911"/>
      <c r="M783" s="27"/>
      <c r="N783" s="27"/>
      <c r="O783" s="361"/>
      <c r="P783" s="74"/>
      <c r="Q783" s="27"/>
      <c r="R783" s="540"/>
      <c r="S783" s="9"/>
      <c r="T783" s="9"/>
      <c r="U783" s="9"/>
      <c r="V783" s="74"/>
      <c r="W783" s="9"/>
      <c r="X783" s="74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316"/>
      <c r="AQ783" s="8"/>
    </row>
    <row r="784" spans="1:43" ht="15.4" hidden="1" customHeight="1" x14ac:dyDescent="0.25">
      <c r="A784" s="11">
        <f t="shared" si="8"/>
        <v>42</v>
      </c>
      <c r="B784" s="963"/>
      <c r="C784" s="989" t="s">
        <v>1001</v>
      </c>
      <c r="D784" s="936" t="s">
        <v>776</v>
      </c>
      <c r="E784" s="1068">
        <v>4.8600000000000003</v>
      </c>
      <c r="F784" s="1039">
        <v>29831</v>
      </c>
      <c r="G784" s="359"/>
      <c r="H784" s="359"/>
      <c r="I784" s="360"/>
      <c r="J784" s="1014"/>
      <c r="K784" s="898"/>
      <c r="L784" s="911"/>
      <c r="M784" s="27"/>
      <c r="N784" s="27"/>
      <c r="O784" s="361"/>
      <c r="P784" s="74"/>
      <c r="Q784" s="27"/>
      <c r="R784" s="540"/>
      <c r="S784" s="9"/>
      <c r="T784" s="9"/>
      <c r="U784" s="9"/>
      <c r="V784" s="74"/>
      <c r="W784" s="9"/>
      <c r="X784" s="74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316"/>
      <c r="AQ784" s="8"/>
    </row>
    <row r="785" spans="1:43" ht="14.85" hidden="1" customHeight="1" x14ac:dyDescent="0.25">
      <c r="A785" s="11">
        <f t="shared" si="8"/>
        <v>43</v>
      </c>
      <c r="B785" s="963"/>
      <c r="C785" s="989" t="s">
        <v>1002</v>
      </c>
      <c r="D785" s="936" t="s">
        <v>777</v>
      </c>
      <c r="E785" s="1068">
        <v>5.8550000000000004</v>
      </c>
      <c r="F785" s="1039">
        <v>21426</v>
      </c>
      <c r="G785" s="359"/>
      <c r="H785" s="359"/>
      <c r="I785" s="360"/>
      <c r="J785" s="1014"/>
      <c r="K785" s="898"/>
      <c r="L785" s="911"/>
      <c r="M785" s="27"/>
      <c r="N785" s="27"/>
      <c r="O785" s="361"/>
      <c r="P785" s="74"/>
      <c r="Q785" s="27"/>
      <c r="R785" s="540"/>
      <c r="S785" s="9"/>
      <c r="T785" s="9"/>
      <c r="U785" s="9"/>
      <c r="V785" s="74"/>
      <c r="W785" s="9"/>
      <c r="X785" s="74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316"/>
      <c r="AQ785" s="8"/>
    </row>
    <row r="786" spans="1:43" ht="32.1" hidden="1" customHeight="1" x14ac:dyDescent="0.25">
      <c r="A786" s="11">
        <f t="shared" si="8"/>
        <v>44</v>
      </c>
      <c r="B786" s="963"/>
      <c r="C786" s="989" t="s">
        <v>1003</v>
      </c>
      <c r="D786" s="936" t="s">
        <v>778</v>
      </c>
      <c r="E786" s="1068">
        <v>3.6</v>
      </c>
      <c r="F786" s="1039">
        <v>16965</v>
      </c>
      <c r="G786" s="359"/>
      <c r="H786" s="359"/>
      <c r="I786" s="360"/>
      <c r="J786" s="1014"/>
      <c r="K786" s="898"/>
      <c r="L786" s="911"/>
      <c r="M786" s="27"/>
      <c r="N786" s="27"/>
      <c r="O786" s="361"/>
      <c r="P786" s="74"/>
      <c r="Q786" s="27"/>
      <c r="R786" s="540"/>
      <c r="S786" s="9"/>
      <c r="T786" s="9"/>
      <c r="U786" s="9"/>
      <c r="V786" s="74"/>
      <c r="W786" s="9"/>
      <c r="X786" s="74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316"/>
      <c r="AQ786" s="8"/>
    </row>
    <row r="787" spans="1:43" ht="14.1" hidden="1" customHeight="1" x14ac:dyDescent="0.25">
      <c r="A787" s="11">
        <f t="shared" si="8"/>
        <v>45</v>
      </c>
      <c r="B787" s="963"/>
      <c r="C787" s="989" t="s">
        <v>1004</v>
      </c>
      <c r="D787" s="936" t="s">
        <v>779</v>
      </c>
      <c r="E787" s="1068">
        <v>5.44</v>
      </c>
      <c r="F787" s="1039">
        <v>24145</v>
      </c>
      <c r="G787" s="359"/>
      <c r="H787" s="359"/>
      <c r="I787" s="360"/>
      <c r="J787" s="1014"/>
      <c r="K787" s="898"/>
      <c r="L787" s="911"/>
      <c r="M787" s="27"/>
      <c r="N787" s="27"/>
      <c r="O787" s="361"/>
      <c r="P787" s="74"/>
      <c r="Q787" s="27"/>
      <c r="R787" s="540"/>
      <c r="S787" s="9"/>
      <c r="T787" s="9"/>
      <c r="U787" s="9"/>
      <c r="V787" s="74"/>
      <c r="W787" s="9"/>
      <c r="X787" s="74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316"/>
      <c r="AQ787" s="8"/>
    </row>
    <row r="788" spans="1:43" ht="31.5" hidden="1" customHeight="1" x14ac:dyDescent="0.25">
      <c r="A788" s="11">
        <f t="shared" si="8"/>
        <v>46</v>
      </c>
      <c r="B788" s="963"/>
      <c r="C788" s="989" t="s">
        <v>1005</v>
      </c>
      <c r="D788" s="936" t="s">
        <v>780</v>
      </c>
      <c r="E788" s="1068">
        <v>2.5</v>
      </c>
      <c r="F788" s="1039">
        <v>11200</v>
      </c>
      <c r="G788" s="359"/>
      <c r="H788" s="359"/>
      <c r="I788" s="360"/>
      <c r="J788" s="1014"/>
      <c r="K788" s="898"/>
      <c r="L788" s="911"/>
      <c r="M788" s="27"/>
      <c r="N788" s="27"/>
      <c r="O788" s="361"/>
      <c r="P788" s="74"/>
      <c r="Q788" s="27"/>
      <c r="R788" s="540"/>
      <c r="S788" s="9"/>
      <c r="T788" s="9"/>
      <c r="U788" s="9"/>
      <c r="V788" s="74"/>
      <c r="W788" s="9"/>
      <c r="X788" s="74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316"/>
      <c r="AQ788" s="8"/>
    </row>
    <row r="789" spans="1:43" ht="16.7" hidden="1" customHeight="1" x14ac:dyDescent="0.25">
      <c r="A789" s="11">
        <f t="shared" si="8"/>
        <v>47</v>
      </c>
      <c r="B789" s="963"/>
      <c r="C789" s="989" t="s">
        <v>1006</v>
      </c>
      <c r="D789" s="936" t="s">
        <v>781</v>
      </c>
      <c r="E789" s="1068">
        <v>4.0999999999999996</v>
      </c>
      <c r="F789" s="1039">
        <v>18844</v>
      </c>
      <c r="G789" s="359"/>
      <c r="H789" s="359"/>
      <c r="I789" s="360"/>
      <c r="J789" s="1014"/>
      <c r="K789" s="898"/>
      <c r="L789" s="911"/>
      <c r="M789" s="27"/>
      <c r="N789" s="27"/>
      <c r="O789" s="361"/>
      <c r="P789" s="74"/>
      <c r="Q789" s="27"/>
      <c r="R789" s="540"/>
      <c r="S789" s="9"/>
      <c r="T789" s="9"/>
      <c r="U789" s="9"/>
      <c r="V789" s="74"/>
      <c r="W789" s="9"/>
      <c r="X789" s="74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316"/>
      <c r="AQ789" s="8"/>
    </row>
    <row r="790" spans="1:43" ht="16.7" hidden="1" customHeight="1" x14ac:dyDescent="0.25">
      <c r="A790" s="11"/>
      <c r="B790" s="963"/>
      <c r="C790" s="46" t="s">
        <v>891</v>
      </c>
      <c r="D790" s="936"/>
      <c r="E790" s="1068"/>
      <c r="F790" s="1039"/>
      <c r="G790" s="359"/>
      <c r="H790" s="359"/>
      <c r="I790" s="360"/>
      <c r="J790" s="1014"/>
      <c r="K790" s="898"/>
      <c r="L790" s="911"/>
      <c r="M790" s="27"/>
      <c r="N790" s="27"/>
      <c r="O790" s="361"/>
      <c r="P790" s="74"/>
      <c r="Q790" s="27"/>
      <c r="R790" s="540"/>
      <c r="S790" s="9"/>
      <c r="T790" s="9"/>
      <c r="U790" s="9"/>
      <c r="V790" s="74"/>
      <c r="W790" s="9"/>
      <c r="X790" s="74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316"/>
      <c r="AQ790" s="8"/>
    </row>
    <row r="791" spans="1:43" ht="14.85" hidden="1" customHeight="1" x14ac:dyDescent="0.25">
      <c r="A791" s="11">
        <f>A789+1</f>
        <v>48</v>
      </c>
      <c r="B791" s="963"/>
      <c r="C791" s="989" t="s">
        <v>782</v>
      </c>
      <c r="D791" s="936" t="s">
        <v>816</v>
      </c>
      <c r="E791" s="1068">
        <v>9.44</v>
      </c>
      <c r="F791" s="1039">
        <v>89112</v>
      </c>
      <c r="G791" s="359"/>
      <c r="H791" s="359"/>
      <c r="I791" s="360"/>
      <c r="J791" s="1014"/>
      <c r="K791" s="898"/>
      <c r="L791" s="911"/>
      <c r="M791" s="27"/>
      <c r="N791" s="27"/>
      <c r="O791" s="361"/>
      <c r="P791" s="74"/>
      <c r="Q791" s="27"/>
      <c r="R791" s="540"/>
      <c r="S791" s="9"/>
      <c r="T791" s="9"/>
      <c r="U791" s="9"/>
      <c r="V791" s="74"/>
      <c r="W791" s="9"/>
      <c r="X791" s="74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316"/>
      <c r="AQ791" s="8"/>
    </row>
    <row r="792" spans="1:43" ht="28.9" hidden="1" customHeight="1" x14ac:dyDescent="0.25">
      <c r="A792" s="11" t="e">
        <f>#REF!+1</f>
        <v>#REF!</v>
      </c>
      <c r="B792" s="963"/>
      <c r="C792" s="989" t="s">
        <v>1007</v>
      </c>
      <c r="D792" s="936" t="s">
        <v>43</v>
      </c>
      <c r="E792" s="1068">
        <v>7.774</v>
      </c>
      <c r="F792" s="1039">
        <v>60108</v>
      </c>
      <c r="G792" s="390"/>
      <c r="H792" s="390"/>
      <c r="I792" s="360"/>
      <c r="J792" s="1014"/>
      <c r="K792" s="21"/>
      <c r="L792" s="911"/>
      <c r="M792" s="27"/>
      <c r="N792" s="27"/>
      <c r="O792" s="361"/>
      <c r="P792" s="74"/>
      <c r="Q792" s="27"/>
      <c r="R792" s="540"/>
      <c r="S792" s="9"/>
      <c r="T792" s="9"/>
      <c r="U792" s="9"/>
      <c r="V792" s="74"/>
      <c r="W792" s="9"/>
      <c r="X792" s="74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316"/>
      <c r="AQ792" s="8"/>
    </row>
    <row r="793" spans="1:43" ht="14.85" hidden="1" customHeight="1" x14ac:dyDescent="0.25">
      <c r="A793" s="11" t="e">
        <f t="shared" si="8"/>
        <v>#REF!</v>
      </c>
      <c r="B793" s="29"/>
      <c r="C793" s="989" t="s">
        <v>784</v>
      </c>
      <c r="D793" s="898" t="s">
        <v>818</v>
      </c>
      <c r="E793" s="1068">
        <f>4.4</f>
        <v>4.4000000000000004</v>
      </c>
      <c r="F793" s="1039">
        <f>30227</f>
        <v>30227</v>
      </c>
      <c r="G793" s="390"/>
      <c r="H793" s="390"/>
      <c r="I793" s="360"/>
      <c r="J793" s="1014"/>
      <c r="K793" s="21"/>
      <c r="L793" s="911"/>
      <c r="M793" s="27"/>
      <c r="N793" s="27"/>
      <c r="O793" s="361"/>
      <c r="P793" s="74"/>
      <c r="Q793" s="27"/>
      <c r="R793" s="540"/>
      <c r="S793" s="9"/>
      <c r="T793" s="9"/>
      <c r="U793" s="9"/>
      <c r="V793" s="74"/>
      <c r="W793" s="9"/>
      <c r="X793" s="74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316"/>
      <c r="AQ793" s="8"/>
    </row>
    <row r="794" spans="1:43" ht="14.1" hidden="1" customHeight="1" x14ac:dyDescent="0.25">
      <c r="A794" s="11" t="e">
        <f>#REF!+1</f>
        <v>#REF!</v>
      </c>
      <c r="B794" s="963"/>
      <c r="C794" s="989" t="s">
        <v>786</v>
      </c>
      <c r="D794" s="936" t="s">
        <v>819</v>
      </c>
      <c r="E794" s="1068">
        <v>3</v>
      </c>
      <c r="F794" s="1039">
        <v>22150</v>
      </c>
      <c r="G794" s="359"/>
      <c r="H794" s="359"/>
      <c r="I794" s="360"/>
      <c r="J794" s="1014"/>
      <c r="K794" s="898"/>
      <c r="L794" s="911"/>
      <c r="M794" s="27"/>
      <c r="N794" s="27"/>
      <c r="O794" s="361"/>
      <c r="P794" s="74"/>
      <c r="Q794" s="27"/>
      <c r="R794" s="540"/>
      <c r="S794" s="9"/>
      <c r="T794" s="9"/>
      <c r="U794" s="9"/>
      <c r="V794" s="74"/>
      <c r="W794" s="9"/>
      <c r="X794" s="74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316"/>
      <c r="AQ794" s="8"/>
    </row>
    <row r="795" spans="1:43" ht="32.85" hidden="1" customHeight="1" x14ac:dyDescent="0.25">
      <c r="A795" s="11" t="e">
        <f t="shared" si="8"/>
        <v>#REF!</v>
      </c>
      <c r="B795" s="963"/>
      <c r="C795" s="989" t="s">
        <v>787</v>
      </c>
      <c r="D795" s="936" t="s">
        <v>820</v>
      </c>
      <c r="E795" s="1068">
        <v>4.34</v>
      </c>
      <c r="F795" s="1039">
        <v>29240</v>
      </c>
      <c r="G795" s="359"/>
      <c r="H795" s="359"/>
      <c r="I795" s="360"/>
      <c r="J795" s="1014"/>
      <c r="K795" s="898"/>
      <c r="L795" s="911"/>
      <c r="M795" s="27"/>
      <c r="N795" s="27"/>
      <c r="O795" s="361"/>
      <c r="P795" s="74"/>
      <c r="Q795" s="27"/>
      <c r="R795" s="540"/>
      <c r="S795" s="9"/>
      <c r="T795" s="9"/>
      <c r="U795" s="9"/>
      <c r="V795" s="74"/>
      <c r="W795" s="9"/>
      <c r="X795" s="74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316"/>
      <c r="AQ795" s="8"/>
    </row>
    <row r="796" spans="1:43" ht="31.15" hidden="1" customHeight="1" x14ac:dyDescent="0.25">
      <c r="A796" s="11" t="e">
        <f t="shared" si="8"/>
        <v>#REF!</v>
      </c>
      <c r="B796" s="963"/>
      <c r="C796" s="989" t="s">
        <v>788</v>
      </c>
      <c r="D796" s="936" t="s">
        <v>821</v>
      </c>
      <c r="E796" s="1068">
        <v>0.7</v>
      </c>
      <c r="F796" s="1039">
        <v>3971</v>
      </c>
      <c r="G796" s="359"/>
      <c r="H796" s="359"/>
      <c r="I796" s="360"/>
      <c r="J796" s="1014"/>
      <c r="K796" s="898"/>
      <c r="L796" s="911"/>
      <c r="M796" s="27"/>
      <c r="N796" s="27"/>
      <c r="O796" s="361"/>
      <c r="P796" s="74"/>
      <c r="Q796" s="27"/>
      <c r="R796" s="540"/>
      <c r="S796" s="9"/>
      <c r="T796" s="9"/>
      <c r="U796" s="9"/>
      <c r="V796" s="74"/>
      <c r="W796" s="9"/>
      <c r="X796" s="74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316"/>
      <c r="AQ796" s="8"/>
    </row>
    <row r="797" spans="1:43" ht="27" hidden="1" customHeight="1" x14ac:dyDescent="0.25">
      <c r="A797" s="11" t="e">
        <f t="shared" si="8"/>
        <v>#REF!</v>
      </c>
      <c r="B797" s="963"/>
      <c r="C797" s="989" t="s">
        <v>1009</v>
      </c>
      <c r="D797" s="936" t="s">
        <v>822</v>
      </c>
      <c r="E797" s="1068">
        <v>3.492</v>
      </c>
      <c r="F797" s="1039">
        <v>24703</v>
      </c>
      <c r="G797" s="359"/>
      <c r="H797" s="359"/>
      <c r="I797" s="360"/>
      <c r="J797" s="1014"/>
      <c r="K797" s="898"/>
      <c r="L797" s="911"/>
      <c r="M797" s="27"/>
      <c r="N797" s="27"/>
      <c r="O797" s="361"/>
      <c r="P797" s="74"/>
      <c r="Q797" s="27"/>
      <c r="R797" s="540"/>
      <c r="S797" s="9"/>
      <c r="T797" s="9"/>
      <c r="U797" s="9"/>
      <c r="V797" s="74"/>
      <c r="W797" s="9"/>
      <c r="X797" s="74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316"/>
      <c r="AQ797" s="8"/>
    </row>
    <row r="798" spans="1:43" ht="27.6" hidden="1" customHeight="1" x14ac:dyDescent="0.25">
      <c r="A798" s="11" t="e">
        <f t="shared" si="8"/>
        <v>#REF!</v>
      </c>
      <c r="B798" s="963"/>
      <c r="C798" s="989" t="s">
        <v>1008</v>
      </c>
      <c r="D798" s="936" t="s">
        <v>823</v>
      </c>
      <c r="E798" s="1068">
        <v>9.1999999999999993</v>
      </c>
      <c r="F798" s="1039">
        <v>59104</v>
      </c>
      <c r="G798" s="359"/>
      <c r="H798" s="359"/>
      <c r="I798" s="360"/>
      <c r="J798" s="1014"/>
      <c r="K798" s="898"/>
      <c r="L798" s="911"/>
      <c r="M798" s="27"/>
      <c r="N798" s="27"/>
      <c r="O798" s="361"/>
      <c r="P798" s="74"/>
      <c r="Q798" s="27"/>
      <c r="R798" s="540"/>
      <c r="S798" s="9"/>
      <c r="T798" s="9"/>
      <c r="U798" s="9"/>
      <c r="V798" s="74"/>
      <c r="W798" s="9"/>
      <c r="X798" s="74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316"/>
      <c r="AQ798" s="8"/>
    </row>
    <row r="799" spans="1:43" ht="27" hidden="1" customHeight="1" x14ac:dyDescent="0.25">
      <c r="A799" s="11" t="e">
        <f t="shared" si="8"/>
        <v>#REF!</v>
      </c>
      <c r="B799" s="963"/>
      <c r="C799" s="989" t="s">
        <v>1010</v>
      </c>
      <c r="D799" s="936" t="s">
        <v>824</v>
      </c>
      <c r="E799" s="1068">
        <v>7.3250000000000002</v>
      </c>
      <c r="F799" s="1039">
        <v>34252</v>
      </c>
      <c r="G799" s="359"/>
      <c r="H799" s="359"/>
      <c r="I799" s="360"/>
      <c r="J799" s="1014"/>
      <c r="K799" s="898"/>
      <c r="L799" s="911"/>
      <c r="M799" s="27"/>
      <c r="N799" s="27"/>
      <c r="O799" s="361"/>
      <c r="P799" s="74"/>
      <c r="Q799" s="27"/>
      <c r="R799" s="540"/>
      <c r="S799" s="9"/>
      <c r="T799" s="9"/>
      <c r="U799" s="9"/>
      <c r="V799" s="74"/>
      <c r="W799" s="9"/>
      <c r="X799" s="74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316"/>
      <c r="AQ799" s="8"/>
    </row>
    <row r="800" spans="1:43" ht="27.6" hidden="1" customHeight="1" x14ac:dyDescent="0.25">
      <c r="A800" s="11" t="e">
        <f t="shared" si="8"/>
        <v>#REF!</v>
      </c>
      <c r="B800" s="963"/>
      <c r="C800" s="989" t="s">
        <v>1011</v>
      </c>
      <c r="D800" s="936" t="s">
        <v>825</v>
      </c>
      <c r="E800" s="1068">
        <v>10.84</v>
      </c>
      <c r="F800" s="1039">
        <v>64652</v>
      </c>
      <c r="G800" s="359"/>
      <c r="H800" s="359"/>
      <c r="I800" s="360"/>
      <c r="J800" s="1014"/>
      <c r="K800" s="898"/>
      <c r="L800" s="911"/>
      <c r="M800" s="27"/>
      <c r="N800" s="27"/>
      <c r="O800" s="361"/>
      <c r="P800" s="74"/>
      <c r="Q800" s="27"/>
      <c r="R800" s="540"/>
      <c r="S800" s="9"/>
      <c r="T800" s="9"/>
      <c r="U800" s="9"/>
      <c r="V800" s="74"/>
      <c r="W800" s="9"/>
      <c r="X800" s="74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316"/>
      <c r="AQ800" s="8"/>
    </row>
    <row r="801" spans="1:43" ht="16.7" hidden="1" customHeight="1" x14ac:dyDescent="0.25">
      <c r="A801" s="11" t="e">
        <f t="shared" si="8"/>
        <v>#REF!</v>
      </c>
      <c r="B801" s="963"/>
      <c r="C801" s="989" t="s">
        <v>789</v>
      </c>
      <c r="D801" s="936" t="s">
        <v>826</v>
      </c>
      <c r="E801" s="1068">
        <v>3.92</v>
      </c>
      <c r="F801" s="1039">
        <v>20500</v>
      </c>
      <c r="G801" s="359"/>
      <c r="H801" s="359"/>
      <c r="I801" s="360"/>
      <c r="J801" s="1014"/>
      <c r="K801" s="898"/>
      <c r="L801" s="911"/>
      <c r="M801" s="27"/>
      <c r="N801" s="27"/>
      <c r="O801" s="361"/>
      <c r="P801" s="74"/>
      <c r="Q801" s="27"/>
      <c r="R801" s="540"/>
      <c r="S801" s="9"/>
      <c r="T801" s="9"/>
      <c r="U801" s="9"/>
      <c r="V801" s="74"/>
      <c r="W801" s="9"/>
      <c r="X801" s="74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316"/>
      <c r="AQ801" s="8"/>
    </row>
    <row r="802" spans="1:43" ht="16.7" hidden="1" customHeight="1" x14ac:dyDescent="0.25">
      <c r="A802" s="11" t="e">
        <f t="shared" si="8"/>
        <v>#REF!</v>
      </c>
      <c r="B802" s="963"/>
      <c r="C802" s="989" t="s">
        <v>1012</v>
      </c>
      <c r="D802" s="936" t="s">
        <v>827</v>
      </c>
      <c r="E802" s="1068">
        <v>8.6999999999999993</v>
      </c>
      <c r="F802" s="1039">
        <v>20300</v>
      </c>
      <c r="G802" s="359"/>
      <c r="H802" s="359"/>
      <c r="I802" s="360"/>
      <c r="J802" s="1014"/>
      <c r="K802" s="898"/>
      <c r="L802" s="911"/>
      <c r="M802" s="27"/>
      <c r="N802" s="27"/>
      <c r="O802" s="361"/>
      <c r="P802" s="74"/>
      <c r="Q802" s="27"/>
      <c r="R802" s="540"/>
      <c r="S802" s="9"/>
      <c r="T802" s="9"/>
      <c r="U802" s="9"/>
      <c r="V802" s="74"/>
      <c r="W802" s="9"/>
      <c r="X802" s="74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316"/>
      <c r="AQ802" s="8"/>
    </row>
    <row r="803" spans="1:43" ht="32.1" hidden="1" customHeight="1" x14ac:dyDescent="0.25">
      <c r="A803" s="11" t="e">
        <f t="shared" si="8"/>
        <v>#REF!</v>
      </c>
      <c r="B803" s="963"/>
      <c r="C803" s="989" t="s">
        <v>790</v>
      </c>
      <c r="D803" s="936" t="s">
        <v>828</v>
      </c>
      <c r="E803" s="1068">
        <v>6.36</v>
      </c>
      <c r="F803" s="1039">
        <v>28695</v>
      </c>
      <c r="G803" s="359"/>
      <c r="H803" s="359"/>
      <c r="I803" s="360"/>
      <c r="J803" s="1014"/>
      <c r="K803" s="898"/>
      <c r="L803" s="911"/>
      <c r="M803" s="27"/>
      <c r="N803" s="27"/>
      <c r="O803" s="361"/>
      <c r="P803" s="74"/>
      <c r="Q803" s="27"/>
      <c r="R803" s="540"/>
      <c r="S803" s="9"/>
      <c r="T803" s="9"/>
      <c r="U803" s="9"/>
      <c r="V803" s="74"/>
      <c r="W803" s="9"/>
      <c r="X803" s="74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316"/>
      <c r="AQ803" s="8"/>
    </row>
    <row r="804" spans="1:43" ht="17.649999999999999" hidden="1" customHeight="1" x14ac:dyDescent="0.25">
      <c r="A804" s="11" t="e">
        <f t="shared" si="8"/>
        <v>#REF!</v>
      </c>
      <c r="B804" s="963"/>
      <c r="C804" s="989" t="s">
        <v>1013</v>
      </c>
      <c r="D804" s="936" t="s">
        <v>829</v>
      </c>
      <c r="E804" s="1068">
        <v>1.1399999999999999</v>
      </c>
      <c r="F804" s="1039">
        <v>5894</v>
      </c>
      <c r="G804" s="359"/>
      <c r="H804" s="359"/>
      <c r="I804" s="360"/>
      <c r="J804" s="1014"/>
      <c r="K804" s="898"/>
      <c r="L804" s="911"/>
      <c r="M804" s="27"/>
      <c r="N804" s="27"/>
      <c r="O804" s="361"/>
      <c r="P804" s="74"/>
      <c r="Q804" s="27"/>
      <c r="R804" s="540"/>
      <c r="S804" s="9"/>
      <c r="T804" s="9"/>
      <c r="U804" s="9"/>
      <c r="V804" s="74"/>
      <c r="W804" s="9"/>
      <c r="X804" s="74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316"/>
      <c r="AQ804" s="8"/>
    </row>
    <row r="805" spans="1:43" ht="31.15" hidden="1" customHeight="1" x14ac:dyDescent="0.25">
      <c r="A805" s="11" t="e">
        <f t="shared" si="8"/>
        <v>#REF!</v>
      </c>
      <c r="B805" s="963"/>
      <c r="C805" s="989" t="s">
        <v>1014</v>
      </c>
      <c r="D805" s="936" t="s">
        <v>830</v>
      </c>
      <c r="E805" s="1068">
        <v>7.4</v>
      </c>
      <c r="F805" s="1039">
        <v>33580</v>
      </c>
      <c r="G805" s="359"/>
      <c r="H805" s="359"/>
      <c r="I805" s="360"/>
      <c r="J805" s="1014"/>
      <c r="K805" s="898"/>
      <c r="L805" s="911"/>
      <c r="M805" s="27"/>
      <c r="N805" s="27"/>
      <c r="O805" s="361"/>
      <c r="P805" s="74"/>
      <c r="Q805" s="27"/>
      <c r="R805" s="540"/>
      <c r="S805" s="9"/>
      <c r="T805" s="9"/>
      <c r="U805" s="9"/>
      <c r="V805" s="74"/>
      <c r="W805" s="9"/>
      <c r="X805" s="74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316"/>
      <c r="AQ805" s="8"/>
    </row>
    <row r="806" spans="1:43" ht="44.65" hidden="1" customHeight="1" x14ac:dyDescent="0.25">
      <c r="A806" s="11" t="e">
        <f t="shared" si="8"/>
        <v>#REF!</v>
      </c>
      <c r="B806" s="963"/>
      <c r="C806" s="989" t="s">
        <v>1016</v>
      </c>
      <c r="D806" s="936" t="s">
        <v>831</v>
      </c>
      <c r="E806" s="1068">
        <v>15.441000000000001</v>
      </c>
      <c r="F806" s="1039">
        <v>87377</v>
      </c>
      <c r="G806" s="359"/>
      <c r="H806" s="359"/>
      <c r="I806" s="360"/>
      <c r="J806" s="1014"/>
      <c r="K806" s="898"/>
      <c r="L806" s="911"/>
      <c r="M806" s="27"/>
      <c r="N806" s="27"/>
      <c r="O806" s="361"/>
      <c r="P806" s="74"/>
      <c r="Q806" s="27"/>
      <c r="R806" s="540"/>
      <c r="S806" s="9"/>
      <c r="T806" s="9"/>
      <c r="U806" s="9"/>
      <c r="V806" s="74"/>
      <c r="W806" s="9"/>
      <c r="X806" s="74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316"/>
      <c r="AQ806" s="8"/>
    </row>
    <row r="807" spans="1:43" ht="14.85" hidden="1" customHeight="1" x14ac:dyDescent="0.25">
      <c r="A807" s="156" t="e">
        <f t="shared" si="8"/>
        <v>#REF!</v>
      </c>
      <c r="B807" s="892"/>
      <c r="C807" s="1004" t="s">
        <v>791</v>
      </c>
      <c r="D807" s="1003" t="s">
        <v>832</v>
      </c>
      <c r="E807" s="1040">
        <v>3.49</v>
      </c>
      <c r="F807" s="1036">
        <v>30787</v>
      </c>
      <c r="G807" s="367"/>
      <c r="H807" s="367"/>
      <c r="I807" s="652"/>
      <c r="J807" s="1071"/>
      <c r="K807" s="992"/>
      <c r="L807" s="1087"/>
      <c r="M807" s="1127"/>
      <c r="N807" s="1127"/>
      <c r="O807" s="370"/>
      <c r="P807" s="234"/>
      <c r="Q807" s="1127"/>
      <c r="R807" s="660"/>
      <c r="S807" s="1045"/>
      <c r="T807" s="1045"/>
      <c r="U807" s="1045"/>
      <c r="V807" s="234"/>
      <c r="W807" s="1045"/>
      <c r="X807" s="234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316"/>
      <c r="AQ807" s="8"/>
    </row>
    <row r="808" spans="1:43" ht="20.65" hidden="1" customHeight="1" x14ac:dyDescent="0.25">
      <c r="A808" s="61" t="e">
        <f>#REF!+1</f>
        <v>#REF!</v>
      </c>
      <c r="B808" s="893"/>
      <c r="C808" s="996" t="s">
        <v>1015</v>
      </c>
      <c r="D808" s="936" t="s">
        <v>834</v>
      </c>
      <c r="E808" s="991">
        <v>3.3</v>
      </c>
      <c r="F808" s="1037">
        <v>16605</v>
      </c>
      <c r="G808" s="369"/>
      <c r="H808" s="369"/>
      <c r="I808" s="360"/>
      <c r="J808" s="1072"/>
      <c r="K808" s="898"/>
      <c r="L808" s="912"/>
      <c r="M808" s="1128"/>
      <c r="N808" s="1128"/>
      <c r="O808" s="372"/>
      <c r="P808" s="232"/>
      <c r="Q808" s="1128"/>
      <c r="R808" s="661"/>
      <c r="S808" s="1046"/>
      <c r="T808" s="1046"/>
      <c r="U808" s="1046"/>
      <c r="V808" s="232"/>
      <c r="W808" s="1046"/>
      <c r="X808" s="232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316"/>
      <c r="AQ808" s="8"/>
    </row>
    <row r="809" spans="1:43" ht="16.149999999999999" hidden="1" customHeight="1" x14ac:dyDescent="0.25">
      <c r="A809" s="11" t="e">
        <f t="shared" si="8"/>
        <v>#REF!</v>
      </c>
      <c r="B809" s="963"/>
      <c r="C809" s="989" t="s">
        <v>793</v>
      </c>
      <c r="D809" s="936" t="s">
        <v>835</v>
      </c>
      <c r="E809" s="1068">
        <v>5.0720000000000001</v>
      </c>
      <c r="F809" s="1039">
        <v>35492</v>
      </c>
      <c r="G809" s="359"/>
      <c r="H809" s="359"/>
      <c r="I809" s="360"/>
      <c r="J809" s="1014"/>
      <c r="K809" s="898"/>
      <c r="L809" s="911"/>
      <c r="M809" s="27"/>
      <c r="N809" s="27"/>
      <c r="O809" s="361"/>
      <c r="P809" s="74"/>
      <c r="Q809" s="27"/>
      <c r="R809" s="540"/>
      <c r="S809" s="9"/>
      <c r="T809" s="9"/>
      <c r="U809" s="9"/>
      <c r="V809" s="74"/>
      <c r="W809" s="9"/>
      <c r="X809" s="74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316"/>
      <c r="AQ809" s="8"/>
    </row>
    <row r="810" spans="1:43" ht="16.149999999999999" hidden="1" customHeight="1" x14ac:dyDescent="0.25">
      <c r="A810" s="11"/>
      <c r="B810" s="963"/>
      <c r="C810" s="46" t="s">
        <v>892</v>
      </c>
      <c r="D810" s="936"/>
      <c r="E810" s="991"/>
      <c r="F810" s="1039"/>
      <c r="G810" s="359"/>
      <c r="H810" s="359"/>
      <c r="I810" s="360"/>
      <c r="J810" s="1014"/>
      <c r="K810" s="898"/>
      <c r="L810" s="911"/>
      <c r="M810" s="27"/>
      <c r="N810" s="27"/>
      <c r="O810" s="361"/>
      <c r="P810" s="74"/>
      <c r="Q810" s="27"/>
      <c r="R810" s="540"/>
      <c r="S810" s="9"/>
      <c r="T810" s="9"/>
      <c r="U810" s="9"/>
      <c r="V810" s="74"/>
      <c r="W810" s="9"/>
      <c r="X810" s="74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316"/>
      <c r="AQ810" s="8"/>
    </row>
    <row r="811" spans="1:43" ht="15.4" hidden="1" customHeight="1" x14ac:dyDescent="0.25">
      <c r="A811" s="11" t="e">
        <f>A809+1</f>
        <v>#REF!</v>
      </c>
      <c r="B811" s="963"/>
      <c r="C811" s="989" t="s">
        <v>794</v>
      </c>
      <c r="D811" s="936" t="s">
        <v>836</v>
      </c>
      <c r="E811" s="16">
        <v>20.033000000000001</v>
      </c>
      <c r="F811" s="1039">
        <v>141963</v>
      </c>
      <c r="G811" s="359"/>
      <c r="H811" s="359"/>
      <c r="I811" s="360"/>
      <c r="J811" s="1014"/>
      <c r="K811" s="898"/>
      <c r="L811" s="911"/>
      <c r="M811" s="27"/>
      <c r="N811" s="27"/>
      <c r="O811" s="361"/>
      <c r="P811" s="74"/>
      <c r="Q811" s="27"/>
      <c r="R811" s="540"/>
      <c r="S811" s="9"/>
      <c r="T811" s="9"/>
      <c r="U811" s="9"/>
      <c r="V811" s="74"/>
      <c r="W811" s="9"/>
      <c r="X811" s="74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316"/>
      <c r="AQ811" s="8"/>
    </row>
    <row r="812" spans="1:43" ht="14.85" hidden="1" customHeight="1" x14ac:dyDescent="0.25">
      <c r="A812" s="11" t="e">
        <f t="shared" si="8"/>
        <v>#REF!</v>
      </c>
      <c r="B812" s="963"/>
      <c r="C812" s="989" t="s">
        <v>795</v>
      </c>
      <c r="D812" s="936" t="s">
        <v>837</v>
      </c>
      <c r="E812" s="16">
        <v>4.88</v>
      </c>
      <c r="F812" s="1039">
        <v>30110</v>
      </c>
      <c r="G812" s="359"/>
      <c r="H812" s="359"/>
      <c r="I812" s="360"/>
      <c r="J812" s="1014"/>
      <c r="K812" s="898"/>
      <c r="L812" s="911"/>
      <c r="M812" s="27"/>
      <c r="N812" s="27"/>
      <c r="O812" s="361"/>
      <c r="P812" s="74"/>
      <c r="Q812" s="27"/>
      <c r="R812" s="540"/>
      <c r="S812" s="9"/>
      <c r="T812" s="9"/>
      <c r="U812" s="9"/>
      <c r="V812" s="74"/>
      <c r="W812" s="9"/>
      <c r="X812" s="74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316"/>
      <c r="AQ812" s="8"/>
    </row>
    <row r="813" spans="1:43" ht="14.85" hidden="1" customHeight="1" x14ac:dyDescent="0.25">
      <c r="A813" s="11" t="e">
        <f t="shared" si="8"/>
        <v>#REF!</v>
      </c>
      <c r="B813" s="963"/>
      <c r="C813" s="989" t="s">
        <v>796</v>
      </c>
      <c r="D813" s="936" t="s">
        <v>838</v>
      </c>
      <c r="E813" s="16">
        <v>7.7</v>
      </c>
      <c r="F813" s="1039">
        <v>46692</v>
      </c>
      <c r="G813" s="359"/>
      <c r="H813" s="359"/>
      <c r="I813" s="360"/>
      <c r="J813" s="1014"/>
      <c r="K813" s="898"/>
      <c r="L813" s="911"/>
      <c r="M813" s="27"/>
      <c r="N813" s="27"/>
      <c r="O813" s="361"/>
      <c r="P813" s="74"/>
      <c r="Q813" s="27"/>
      <c r="R813" s="540"/>
      <c r="S813" s="9"/>
      <c r="T813" s="9"/>
      <c r="U813" s="9"/>
      <c r="V813" s="74"/>
      <c r="W813" s="9"/>
      <c r="X813" s="74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316"/>
      <c r="AQ813" s="8"/>
    </row>
    <row r="814" spans="1:43" ht="34.15" hidden="1" customHeight="1" x14ac:dyDescent="0.25">
      <c r="A814" s="11" t="e">
        <f t="shared" si="8"/>
        <v>#REF!</v>
      </c>
      <c r="B814" s="963"/>
      <c r="C814" s="989" t="s">
        <v>1017</v>
      </c>
      <c r="D814" s="936" t="s">
        <v>839</v>
      </c>
      <c r="E814" s="16">
        <v>4.5999999999999996</v>
      </c>
      <c r="F814" s="1039">
        <v>28153</v>
      </c>
      <c r="G814" s="359"/>
      <c r="H814" s="359"/>
      <c r="I814" s="360"/>
      <c r="J814" s="1014"/>
      <c r="K814" s="898"/>
      <c r="L814" s="911"/>
      <c r="M814" s="27"/>
      <c r="N814" s="27"/>
      <c r="O814" s="361"/>
      <c r="P814" s="74"/>
      <c r="Q814" s="27"/>
      <c r="R814" s="540"/>
      <c r="S814" s="9"/>
      <c r="T814" s="9"/>
      <c r="U814" s="9"/>
      <c r="V814" s="74"/>
      <c r="W814" s="9"/>
      <c r="X814" s="74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316"/>
      <c r="AQ814" s="8"/>
    </row>
    <row r="815" spans="1:43" ht="30.2" hidden="1" customHeight="1" x14ac:dyDescent="0.25">
      <c r="A815" s="11" t="e">
        <f t="shared" si="8"/>
        <v>#REF!</v>
      </c>
      <c r="B815" s="963"/>
      <c r="C815" s="989" t="s">
        <v>1018</v>
      </c>
      <c r="D815" s="936" t="s">
        <v>840</v>
      </c>
      <c r="E815" s="16">
        <v>10.052</v>
      </c>
      <c r="F815" s="1039">
        <v>66307.364000000001</v>
      </c>
      <c r="G815" s="359"/>
      <c r="H815" s="359"/>
      <c r="I815" s="360"/>
      <c r="J815" s="1014"/>
      <c r="K815" s="898"/>
      <c r="L815" s="911"/>
      <c r="M815" s="27"/>
      <c r="N815" s="27"/>
      <c r="O815" s="361"/>
      <c r="P815" s="74"/>
      <c r="Q815" s="27"/>
      <c r="R815" s="540"/>
      <c r="S815" s="9"/>
      <c r="T815" s="9"/>
      <c r="U815" s="9"/>
      <c r="V815" s="74"/>
      <c r="W815" s="9"/>
      <c r="X815" s="74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316"/>
      <c r="AQ815" s="8"/>
    </row>
    <row r="816" spans="1:43" ht="28.9" hidden="1" customHeight="1" x14ac:dyDescent="0.25">
      <c r="A816" s="11" t="e">
        <f t="shared" si="8"/>
        <v>#REF!</v>
      </c>
      <c r="B816" s="963"/>
      <c r="C816" s="989" t="s">
        <v>1019</v>
      </c>
      <c r="D816" s="936" t="s">
        <v>841</v>
      </c>
      <c r="E816" s="16">
        <v>2.2000000000000002</v>
      </c>
      <c r="F816" s="1039">
        <v>13420</v>
      </c>
      <c r="G816" s="359"/>
      <c r="H816" s="359"/>
      <c r="I816" s="360"/>
      <c r="J816" s="1014"/>
      <c r="K816" s="898"/>
      <c r="L816" s="911"/>
      <c r="M816" s="27"/>
      <c r="N816" s="27"/>
      <c r="O816" s="361"/>
      <c r="P816" s="74"/>
      <c r="Q816" s="27"/>
      <c r="R816" s="540"/>
      <c r="S816" s="9"/>
      <c r="T816" s="9"/>
      <c r="U816" s="9"/>
      <c r="V816" s="74"/>
      <c r="W816" s="9"/>
      <c r="X816" s="74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316"/>
      <c r="AQ816" s="8"/>
    </row>
    <row r="817" spans="1:43" ht="16.149999999999999" hidden="1" customHeight="1" x14ac:dyDescent="0.25">
      <c r="A817" s="11" t="e">
        <f t="shared" si="8"/>
        <v>#REF!</v>
      </c>
      <c r="B817" s="963"/>
      <c r="C817" s="989" t="s">
        <v>797</v>
      </c>
      <c r="D817" s="936" t="s">
        <v>842</v>
      </c>
      <c r="E817" s="16">
        <v>0.36</v>
      </c>
      <c r="F817" s="1039">
        <v>2055</v>
      </c>
      <c r="G817" s="359"/>
      <c r="H817" s="359"/>
      <c r="I817" s="360"/>
      <c r="J817" s="1014"/>
      <c r="K817" s="898"/>
      <c r="L817" s="911"/>
      <c r="M817" s="27"/>
      <c r="N817" s="27"/>
      <c r="O817" s="361"/>
      <c r="P817" s="74"/>
      <c r="Q817" s="27"/>
      <c r="R817" s="540"/>
      <c r="S817" s="9"/>
      <c r="T817" s="9"/>
      <c r="U817" s="9"/>
      <c r="V817" s="74"/>
      <c r="W817" s="9"/>
      <c r="X817" s="74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316"/>
      <c r="AQ817" s="8"/>
    </row>
    <row r="818" spans="1:43" ht="15.4" hidden="1" customHeight="1" x14ac:dyDescent="0.25">
      <c r="A818" s="11" t="e">
        <f t="shared" ref="A818:A846" si="9">A817+1</f>
        <v>#REF!</v>
      </c>
      <c r="B818" s="963"/>
      <c r="C818" s="989" t="s">
        <v>798</v>
      </c>
      <c r="D818" s="936" t="s">
        <v>843</v>
      </c>
      <c r="E818" s="1068">
        <v>6.06</v>
      </c>
      <c r="F818" s="1039">
        <v>32402</v>
      </c>
      <c r="G818" s="359"/>
      <c r="H818" s="359"/>
      <c r="I818" s="360"/>
      <c r="J818" s="1014"/>
      <c r="K818" s="898"/>
      <c r="L818" s="911"/>
      <c r="M818" s="27"/>
      <c r="N818" s="27"/>
      <c r="O818" s="361"/>
      <c r="P818" s="74"/>
      <c r="Q818" s="27"/>
      <c r="R818" s="540"/>
      <c r="S818" s="9"/>
      <c r="T818" s="9"/>
      <c r="U818" s="9"/>
      <c r="V818" s="74"/>
      <c r="W818" s="9"/>
      <c r="X818" s="74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316"/>
      <c r="AQ818" s="8"/>
    </row>
    <row r="819" spans="1:43" ht="14.85" hidden="1" customHeight="1" x14ac:dyDescent="0.25">
      <c r="A819" s="11" t="e">
        <f t="shared" si="9"/>
        <v>#REF!</v>
      </c>
      <c r="B819" s="963"/>
      <c r="C819" s="989" t="s">
        <v>799</v>
      </c>
      <c r="D819" s="936" t="s">
        <v>844</v>
      </c>
      <c r="E819" s="1068">
        <v>5.24</v>
      </c>
      <c r="F819" s="1039">
        <v>24845.599999999999</v>
      </c>
      <c r="G819" s="359"/>
      <c r="H819" s="359"/>
      <c r="I819" s="360"/>
      <c r="J819" s="1014"/>
      <c r="K819" s="898"/>
      <c r="L819" s="911"/>
      <c r="M819" s="27"/>
      <c r="N819" s="27"/>
      <c r="O819" s="361"/>
      <c r="P819" s="74"/>
      <c r="Q819" s="27"/>
      <c r="R819" s="540"/>
      <c r="S819" s="9"/>
      <c r="T819" s="9"/>
      <c r="U819" s="9"/>
      <c r="V819" s="74"/>
      <c r="W819" s="9"/>
      <c r="X819" s="74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316"/>
      <c r="AQ819" s="8"/>
    </row>
    <row r="820" spans="1:43" ht="15.4" hidden="1" customHeight="1" x14ac:dyDescent="0.25">
      <c r="A820" s="11" t="e">
        <f t="shared" si="9"/>
        <v>#REF!</v>
      </c>
      <c r="B820" s="963"/>
      <c r="C820" s="989" t="s">
        <v>800</v>
      </c>
      <c r="D820" s="936" t="s">
        <v>845</v>
      </c>
      <c r="E820" s="1068">
        <v>2.69</v>
      </c>
      <c r="F820" s="1039">
        <v>12182.8</v>
      </c>
      <c r="G820" s="359"/>
      <c r="H820" s="359"/>
      <c r="I820" s="360"/>
      <c r="J820" s="1014"/>
      <c r="K820" s="898"/>
      <c r="L820" s="911"/>
      <c r="M820" s="27"/>
      <c r="N820" s="27"/>
      <c r="O820" s="361"/>
      <c r="P820" s="74"/>
      <c r="Q820" s="27"/>
      <c r="R820" s="540"/>
      <c r="S820" s="9"/>
      <c r="T820" s="9"/>
      <c r="U820" s="9"/>
      <c r="V820" s="74"/>
      <c r="W820" s="9"/>
      <c r="X820" s="74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316"/>
      <c r="AQ820" s="8"/>
    </row>
    <row r="821" spans="1:43" ht="14.1" hidden="1" customHeight="1" x14ac:dyDescent="0.25">
      <c r="A821" s="11" t="e">
        <f t="shared" si="9"/>
        <v>#REF!</v>
      </c>
      <c r="B821" s="963"/>
      <c r="C821" s="989" t="s">
        <v>801</v>
      </c>
      <c r="D821" s="936" t="s">
        <v>846</v>
      </c>
      <c r="E821" s="1068">
        <v>16.16</v>
      </c>
      <c r="F821" s="1039">
        <v>73617</v>
      </c>
      <c r="G821" s="359"/>
      <c r="H821" s="359"/>
      <c r="I821" s="360"/>
      <c r="J821" s="1014"/>
      <c r="K821" s="898"/>
      <c r="L821" s="911"/>
      <c r="M821" s="27"/>
      <c r="N821" s="27"/>
      <c r="O821" s="361"/>
      <c r="P821" s="74"/>
      <c r="Q821" s="27"/>
      <c r="R821" s="540"/>
      <c r="S821" s="9"/>
      <c r="T821" s="9"/>
      <c r="U821" s="9"/>
      <c r="V821" s="74"/>
      <c r="W821" s="9"/>
      <c r="X821" s="74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316"/>
      <c r="AQ821" s="8"/>
    </row>
    <row r="822" spans="1:43" ht="16.149999999999999" hidden="1" customHeight="1" x14ac:dyDescent="0.25">
      <c r="A822" s="11"/>
      <c r="B822" s="963"/>
      <c r="C822" s="46" t="s">
        <v>894</v>
      </c>
      <c r="D822" s="936"/>
      <c r="E822" s="1068"/>
      <c r="F822" s="1039"/>
      <c r="G822" s="359"/>
      <c r="H822" s="359"/>
      <c r="I822" s="360"/>
      <c r="J822" s="1014"/>
      <c r="K822" s="898"/>
      <c r="L822" s="911"/>
      <c r="M822" s="27"/>
      <c r="N822" s="27"/>
      <c r="O822" s="361"/>
      <c r="P822" s="74"/>
      <c r="Q822" s="27"/>
      <c r="R822" s="540"/>
      <c r="S822" s="9"/>
      <c r="T822" s="9"/>
      <c r="U822" s="9"/>
      <c r="V822" s="74"/>
      <c r="W822" s="9"/>
      <c r="X822" s="74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316"/>
      <c r="AQ822" s="8"/>
    </row>
    <row r="823" spans="1:43" ht="16.149999999999999" hidden="1" customHeight="1" x14ac:dyDescent="0.25">
      <c r="A823" s="11" t="e">
        <f>A821+1</f>
        <v>#REF!</v>
      </c>
      <c r="B823" s="963"/>
      <c r="C823" s="989" t="s">
        <v>1020</v>
      </c>
      <c r="D823" s="936" t="s">
        <v>847</v>
      </c>
      <c r="E823" s="1068">
        <v>10.4</v>
      </c>
      <c r="F823" s="1039">
        <v>78692</v>
      </c>
      <c r="G823" s="359"/>
      <c r="H823" s="359"/>
      <c r="I823" s="360"/>
      <c r="J823" s="1014"/>
      <c r="K823" s="898"/>
      <c r="L823" s="911"/>
      <c r="M823" s="27"/>
      <c r="N823" s="27"/>
      <c r="O823" s="361"/>
      <c r="P823" s="74"/>
      <c r="Q823" s="27"/>
      <c r="R823" s="540"/>
      <c r="S823" s="9"/>
      <c r="T823" s="9"/>
      <c r="U823" s="9"/>
      <c r="V823" s="74"/>
      <c r="W823" s="9"/>
      <c r="X823" s="74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316"/>
      <c r="AQ823" s="8"/>
    </row>
    <row r="824" spans="1:43" ht="28.35" hidden="1" customHeight="1" x14ac:dyDescent="0.25">
      <c r="A824" s="11" t="e">
        <f t="shared" si="9"/>
        <v>#REF!</v>
      </c>
      <c r="B824" s="963"/>
      <c r="C824" s="989" t="s">
        <v>1021</v>
      </c>
      <c r="D824" s="936" t="s">
        <v>848</v>
      </c>
      <c r="E824" s="1068">
        <v>8.6</v>
      </c>
      <c r="F824" s="1039">
        <v>51063</v>
      </c>
      <c r="G824" s="359"/>
      <c r="H824" s="359"/>
      <c r="I824" s="360"/>
      <c r="J824" s="1014"/>
      <c r="K824" s="898"/>
      <c r="L824" s="911"/>
      <c r="M824" s="27"/>
      <c r="N824" s="27"/>
      <c r="O824" s="361"/>
      <c r="P824" s="74"/>
      <c r="Q824" s="27"/>
      <c r="R824" s="540"/>
      <c r="S824" s="9"/>
      <c r="T824" s="9"/>
      <c r="U824" s="9"/>
      <c r="V824" s="74"/>
      <c r="W824" s="9"/>
      <c r="X824" s="74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316"/>
      <c r="AQ824" s="8"/>
    </row>
    <row r="825" spans="1:43" ht="15.4" hidden="1" customHeight="1" x14ac:dyDescent="0.25">
      <c r="A825" s="11" t="e">
        <f t="shared" si="9"/>
        <v>#REF!</v>
      </c>
      <c r="B825" s="963"/>
      <c r="C825" s="989" t="s">
        <v>1022</v>
      </c>
      <c r="D825" s="936" t="s">
        <v>849</v>
      </c>
      <c r="E825" s="1068">
        <v>20.7</v>
      </c>
      <c r="F825" s="1039">
        <v>159630</v>
      </c>
      <c r="G825" s="359"/>
      <c r="H825" s="359"/>
      <c r="I825" s="360"/>
      <c r="J825" s="1014"/>
      <c r="K825" s="898"/>
      <c r="L825" s="911"/>
      <c r="M825" s="27"/>
      <c r="N825" s="27"/>
      <c r="O825" s="361"/>
      <c r="P825" s="74"/>
      <c r="Q825" s="27"/>
      <c r="R825" s="540"/>
      <c r="S825" s="9"/>
      <c r="T825" s="9"/>
      <c r="U825" s="9"/>
      <c r="V825" s="74"/>
      <c r="W825" s="9"/>
      <c r="X825" s="74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316"/>
      <c r="AQ825" s="8"/>
    </row>
    <row r="826" spans="1:43" ht="14.85" hidden="1" customHeight="1" x14ac:dyDescent="0.25">
      <c r="A826" s="11" t="e">
        <f t="shared" si="9"/>
        <v>#REF!</v>
      </c>
      <c r="B826" s="963"/>
      <c r="C826" s="989" t="s">
        <v>1023</v>
      </c>
      <c r="D826" s="936" t="s">
        <v>850</v>
      </c>
      <c r="E826" s="1068">
        <v>7.35</v>
      </c>
      <c r="F826" s="1039">
        <v>34356</v>
      </c>
      <c r="G826" s="359"/>
      <c r="H826" s="359"/>
      <c r="I826" s="360"/>
      <c r="J826" s="1014"/>
      <c r="K826" s="898"/>
      <c r="L826" s="911"/>
      <c r="M826" s="27"/>
      <c r="N826" s="27"/>
      <c r="O826" s="361"/>
      <c r="P826" s="74"/>
      <c r="Q826" s="27"/>
      <c r="R826" s="540"/>
      <c r="S826" s="9"/>
      <c r="T826" s="9"/>
      <c r="U826" s="9"/>
      <c r="V826" s="74"/>
      <c r="W826" s="9"/>
      <c r="X826" s="74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316"/>
      <c r="AQ826" s="8"/>
    </row>
    <row r="827" spans="1:43" ht="27" hidden="1" customHeight="1" x14ac:dyDescent="0.25">
      <c r="A827" s="11" t="e">
        <f t="shared" si="9"/>
        <v>#REF!</v>
      </c>
      <c r="B827" s="963"/>
      <c r="C827" s="989" t="s">
        <v>802</v>
      </c>
      <c r="D827" s="936" t="s">
        <v>851</v>
      </c>
      <c r="E827" s="1068">
        <v>16.96</v>
      </c>
      <c r="F827" s="1039">
        <v>93081</v>
      </c>
      <c r="G827" s="359"/>
      <c r="H827" s="359"/>
      <c r="I827" s="360"/>
      <c r="J827" s="1014"/>
      <c r="K827" s="898"/>
      <c r="L827" s="911"/>
      <c r="M827" s="27"/>
      <c r="N827" s="27"/>
      <c r="O827" s="361"/>
      <c r="P827" s="74"/>
      <c r="Q827" s="27"/>
      <c r="R827" s="540"/>
      <c r="S827" s="9"/>
      <c r="T827" s="9"/>
      <c r="U827" s="9"/>
      <c r="V827" s="74"/>
      <c r="W827" s="9"/>
      <c r="X827" s="74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316"/>
      <c r="AQ827" s="8"/>
    </row>
    <row r="828" spans="1:43" ht="16.7" hidden="1" customHeight="1" x14ac:dyDescent="0.25">
      <c r="A828" s="11" t="e">
        <f t="shared" si="9"/>
        <v>#REF!</v>
      </c>
      <c r="B828" s="963"/>
      <c r="C828" s="989" t="s">
        <v>803</v>
      </c>
      <c r="D828" s="936" t="s">
        <v>852</v>
      </c>
      <c r="E828" s="1068">
        <v>1.4</v>
      </c>
      <c r="F828" s="1039">
        <v>9501</v>
      </c>
      <c r="G828" s="359"/>
      <c r="H828" s="359"/>
      <c r="I828" s="360"/>
      <c r="J828" s="1014"/>
      <c r="K828" s="898"/>
      <c r="L828" s="911"/>
      <c r="M828" s="27"/>
      <c r="N828" s="27"/>
      <c r="O828" s="361"/>
      <c r="P828" s="74"/>
      <c r="Q828" s="27"/>
      <c r="R828" s="540"/>
      <c r="S828" s="9"/>
      <c r="T828" s="9"/>
      <c r="U828" s="9"/>
      <c r="V828" s="74"/>
      <c r="W828" s="9"/>
      <c r="X828" s="74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316"/>
      <c r="AQ828" s="8"/>
    </row>
    <row r="829" spans="1:43" ht="14.85" hidden="1" customHeight="1" x14ac:dyDescent="0.25">
      <c r="A829" s="11" t="e">
        <f t="shared" si="9"/>
        <v>#REF!</v>
      </c>
      <c r="B829" s="963"/>
      <c r="C829" s="989" t="s">
        <v>804</v>
      </c>
      <c r="D829" s="936" t="s">
        <v>853</v>
      </c>
      <c r="E829" s="1068">
        <v>5.64</v>
      </c>
      <c r="F829" s="1039">
        <v>37192</v>
      </c>
      <c r="G829" s="359"/>
      <c r="H829" s="359"/>
      <c r="I829" s="360"/>
      <c r="J829" s="1014"/>
      <c r="K829" s="898"/>
      <c r="L829" s="911"/>
      <c r="M829" s="27"/>
      <c r="N829" s="27"/>
      <c r="O829" s="361"/>
      <c r="P829" s="74"/>
      <c r="Q829" s="27"/>
      <c r="R829" s="540"/>
      <c r="S829" s="9"/>
      <c r="T829" s="9"/>
      <c r="U829" s="9"/>
      <c r="V829" s="74"/>
      <c r="W829" s="9"/>
      <c r="X829" s="74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316"/>
      <c r="AQ829" s="8"/>
    </row>
    <row r="830" spans="1:43" ht="17.649999999999999" hidden="1" customHeight="1" x14ac:dyDescent="0.25">
      <c r="A830" s="11" t="e">
        <f t="shared" si="9"/>
        <v>#REF!</v>
      </c>
      <c r="B830" s="963"/>
      <c r="C830" s="989" t="s">
        <v>1024</v>
      </c>
      <c r="D830" s="936" t="s">
        <v>854</v>
      </c>
      <c r="E830" s="1068">
        <v>5.78</v>
      </c>
      <c r="F830" s="1039">
        <v>28825</v>
      </c>
      <c r="G830" s="359"/>
      <c r="H830" s="359"/>
      <c r="I830" s="360"/>
      <c r="J830" s="1014"/>
      <c r="K830" s="898"/>
      <c r="L830" s="911"/>
      <c r="M830" s="27"/>
      <c r="N830" s="27"/>
      <c r="O830" s="361"/>
      <c r="P830" s="74"/>
      <c r="Q830" s="27"/>
      <c r="R830" s="540"/>
      <c r="S830" s="9"/>
      <c r="T830" s="9"/>
      <c r="U830" s="9"/>
      <c r="V830" s="74"/>
      <c r="W830" s="9"/>
      <c r="X830" s="74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316"/>
      <c r="AQ830" s="8"/>
    </row>
    <row r="831" spans="1:43" ht="16.149999999999999" hidden="1" customHeight="1" x14ac:dyDescent="0.25">
      <c r="A831" s="11" t="e">
        <f t="shared" si="9"/>
        <v>#REF!</v>
      </c>
      <c r="B831" s="963"/>
      <c r="C831" s="989" t="s">
        <v>805</v>
      </c>
      <c r="D831" s="936" t="s">
        <v>855</v>
      </c>
      <c r="E831" s="1068">
        <v>2.2999999999999998</v>
      </c>
      <c r="F831" s="1039">
        <v>11294</v>
      </c>
      <c r="G831" s="359"/>
      <c r="H831" s="359"/>
      <c r="I831" s="360"/>
      <c r="J831" s="1014"/>
      <c r="K831" s="898"/>
      <c r="L831" s="911"/>
      <c r="M831" s="27"/>
      <c r="N831" s="27"/>
      <c r="O831" s="361"/>
      <c r="P831" s="74"/>
      <c r="Q831" s="27"/>
      <c r="R831" s="540"/>
      <c r="S831" s="9"/>
      <c r="T831" s="9"/>
      <c r="U831" s="9"/>
      <c r="V831" s="74"/>
      <c r="W831" s="9"/>
      <c r="X831" s="74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316"/>
      <c r="AQ831" s="8"/>
    </row>
    <row r="832" spans="1:43" ht="28.9" hidden="1" customHeight="1" x14ac:dyDescent="0.25">
      <c r="A832" s="11" t="e">
        <f t="shared" si="9"/>
        <v>#REF!</v>
      </c>
      <c r="B832" s="963"/>
      <c r="C832" s="989" t="s">
        <v>806</v>
      </c>
      <c r="D832" s="936" t="s">
        <v>856</v>
      </c>
      <c r="E832" s="1068">
        <v>5.58</v>
      </c>
      <c r="F832" s="1039">
        <v>26007</v>
      </c>
      <c r="G832" s="359"/>
      <c r="H832" s="359"/>
      <c r="I832" s="360"/>
      <c r="J832" s="1014"/>
      <c r="K832" s="898"/>
      <c r="L832" s="911"/>
      <c r="M832" s="27"/>
      <c r="N832" s="27"/>
      <c r="O832" s="361"/>
      <c r="P832" s="74"/>
      <c r="Q832" s="27"/>
      <c r="R832" s="540"/>
      <c r="S832" s="9"/>
      <c r="T832" s="9"/>
      <c r="U832" s="9"/>
      <c r="V832" s="74"/>
      <c r="W832" s="9"/>
      <c r="X832" s="74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316"/>
      <c r="AQ832" s="8"/>
    </row>
    <row r="833" spans="1:43" ht="15.4" hidden="1" customHeight="1" x14ac:dyDescent="0.25">
      <c r="A833" s="11" t="e">
        <f t="shared" si="9"/>
        <v>#REF!</v>
      </c>
      <c r="B833" s="963"/>
      <c r="C833" s="989" t="s">
        <v>807</v>
      </c>
      <c r="D833" s="936" t="s">
        <v>857</v>
      </c>
      <c r="E833" s="1068">
        <v>8.73</v>
      </c>
      <c r="F833" s="1039">
        <v>63638</v>
      </c>
      <c r="G833" s="359"/>
      <c r="H833" s="359"/>
      <c r="I833" s="360"/>
      <c r="J833" s="1014"/>
      <c r="K833" s="898"/>
      <c r="L833" s="911"/>
      <c r="M833" s="27"/>
      <c r="N833" s="27"/>
      <c r="O833" s="361"/>
      <c r="P833" s="74"/>
      <c r="Q833" s="27"/>
      <c r="R833" s="540"/>
      <c r="S833" s="9"/>
      <c r="T833" s="9"/>
      <c r="U833" s="9"/>
      <c r="V833" s="74"/>
      <c r="W833" s="9"/>
      <c r="X833" s="74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316"/>
      <c r="AQ833" s="8"/>
    </row>
    <row r="834" spans="1:43" ht="14.1" hidden="1" customHeight="1" x14ac:dyDescent="0.25">
      <c r="A834" s="11" t="e">
        <f t="shared" si="9"/>
        <v>#REF!</v>
      </c>
      <c r="B834" s="963"/>
      <c r="C834" s="989" t="s">
        <v>808</v>
      </c>
      <c r="D834" s="936" t="s">
        <v>858</v>
      </c>
      <c r="E834" s="1068">
        <v>0.63</v>
      </c>
      <c r="F834" s="1039">
        <v>2920</v>
      </c>
      <c r="G834" s="359"/>
      <c r="H834" s="359"/>
      <c r="I834" s="360"/>
      <c r="J834" s="1014"/>
      <c r="K834" s="898"/>
      <c r="L834" s="911"/>
      <c r="M834" s="27"/>
      <c r="N834" s="27"/>
      <c r="O834" s="361"/>
      <c r="P834" s="74"/>
      <c r="Q834" s="27"/>
      <c r="R834" s="540"/>
      <c r="S834" s="9"/>
      <c r="T834" s="9"/>
      <c r="U834" s="9"/>
      <c r="V834" s="74"/>
      <c r="W834" s="9"/>
      <c r="X834" s="74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316"/>
      <c r="AQ834" s="8"/>
    </row>
    <row r="835" spans="1:43" ht="17.649999999999999" hidden="1" customHeight="1" x14ac:dyDescent="0.25">
      <c r="A835" s="11" t="e">
        <f t="shared" si="9"/>
        <v>#REF!</v>
      </c>
      <c r="B835" s="963"/>
      <c r="C835" s="989" t="s">
        <v>809</v>
      </c>
      <c r="D835" s="936" t="s">
        <v>859</v>
      </c>
      <c r="E835" s="1068">
        <v>3.08</v>
      </c>
      <c r="F835" s="1039">
        <v>16450</v>
      </c>
      <c r="G835" s="359"/>
      <c r="H835" s="359"/>
      <c r="I835" s="360"/>
      <c r="J835" s="1014"/>
      <c r="K835" s="898"/>
      <c r="L835" s="911"/>
      <c r="M835" s="27"/>
      <c r="N835" s="27"/>
      <c r="O835" s="361"/>
      <c r="P835" s="74"/>
      <c r="Q835" s="27"/>
      <c r="R835" s="540"/>
      <c r="S835" s="9"/>
      <c r="T835" s="9"/>
      <c r="U835" s="9"/>
      <c r="V835" s="74"/>
      <c r="W835" s="9"/>
      <c r="X835" s="74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316"/>
      <c r="AQ835" s="8"/>
    </row>
    <row r="836" spans="1:43" ht="31.5" hidden="1" customHeight="1" x14ac:dyDescent="0.25">
      <c r="A836" s="11" t="e">
        <f t="shared" si="9"/>
        <v>#REF!</v>
      </c>
      <c r="B836" s="963"/>
      <c r="C836" s="989" t="s">
        <v>1025</v>
      </c>
      <c r="D836" s="936" t="s">
        <v>860</v>
      </c>
      <c r="E836" s="1068">
        <v>2.34</v>
      </c>
      <c r="F836" s="1039">
        <v>7053</v>
      </c>
      <c r="G836" s="359"/>
      <c r="H836" s="359"/>
      <c r="I836" s="360"/>
      <c r="J836" s="1014"/>
      <c r="K836" s="898"/>
      <c r="L836" s="911"/>
      <c r="M836" s="27"/>
      <c r="N836" s="27"/>
      <c r="O836" s="361"/>
      <c r="P836" s="74"/>
      <c r="Q836" s="27"/>
      <c r="R836" s="540"/>
      <c r="S836" s="9"/>
      <c r="T836" s="9"/>
      <c r="U836" s="9"/>
      <c r="V836" s="74"/>
      <c r="W836" s="9"/>
      <c r="X836" s="74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316"/>
      <c r="AQ836" s="8"/>
    </row>
    <row r="837" spans="1:43" ht="15.4" hidden="1" customHeight="1" x14ac:dyDescent="0.25">
      <c r="A837" s="11" t="e">
        <f t="shared" si="9"/>
        <v>#REF!</v>
      </c>
      <c r="B837" s="963"/>
      <c r="C837" s="989" t="s">
        <v>810</v>
      </c>
      <c r="D837" s="936" t="s">
        <v>861</v>
      </c>
      <c r="E837" s="1068">
        <v>2.8740000000000001</v>
      </c>
      <c r="F837" s="1039">
        <v>10191</v>
      </c>
      <c r="G837" s="359"/>
      <c r="H837" s="359"/>
      <c r="I837" s="360"/>
      <c r="J837" s="1014"/>
      <c r="K837" s="898"/>
      <c r="L837" s="911"/>
      <c r="M837" s="27"/>
      <c r="N837" s="27"/>
      <c r="O837" s="361"/>
      <c r="P837" s="74"/>
      <c r="Q837" s="27"/>
      <c r="R837" s="540"/>
      <c r="S837" s="9"/>
      <c r="T837" s="9"/>
      <c r="U837" s="9"/>
      <c r="V837" s="74"/>
      <c r="W837" s="9"/>
      <c r="X837" s="74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316"/>
      <c r="AQ837" s="8"/>
    </row>
    <row r="838" spans="1:43" ht="13.5" hidden="1" customHeight="1" x14ac:dyDescent="0.25">
      <c r="A838" s="11" t="e">
        <f t="shared" si="9"/>
        <v>#REF!</v>
      </c>
      <c r="B838" s="963"/>
      <c r="C838" s="989" t="s">
        <v>811</v>
      </c>
      <c r="D838" s="936" t="s">
        <v>862</v>
      </c>
      <c r="E838" s="1068">
        <v>1.9470000000000001</v>
      </c>
      <c r="F838" s="1039">
        <v>13680</v>
      </c>
      <c r="G838" s="359"/>
      <c r="H838" s="359"/>
      <c r="I838" s="360"/>
      <c r="J838" s="1014"/>
      <c r="K838" s="898"/>
      <c r="L838" s="911"/>
      <c r="M838" s="27"/>
      <c r="N838" s="27"/>
      <c r="O838" s="361"/>
      <c r="P838" s="74"/>
      <c r="Q838" s="27"/>
      <c r="R838" s="540"/>
      <c r="S838" s="9"/>
      <c r="T838" s="9"/>
      <c r="U838" s="9"/>
      <c r="V838" s="74"/>
      <c r="W838" s="9"/>
      <c r="X838" s="74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316"/>
      <c r="AQ838" s="8"/>
    </row>
    <row r="839" spans="1:43" ht="18" hidden="1" customHeight="1" thickBot="1" x14ac:dyDescent="0.3">
      <c r="A839" s="156"/>
      <c r="B839" s="892"/>
      <c r="C839" s="184" t="s">
        <v>893</v>
      </c>
      <c r="D839" s="998"/>
      <c r="E839" s="990"/>
      <c r="F839" s="1036"/>
      <c r="G839" s="367"/>
      <c r="H839" s="367"/>
      <c r="I839" s="368"/>
      <c r="J839" s="1071"/>
      <c r="K839" s="885"/>
      <c r="L839" s="1087"/>
      <c r="M839" s="27"/>
      <c r="N839" s="27"/>
      <c r="O839" s="361"/>
      <c r="P839" s="74"/>
      <c r="Q839" s="27"/>
      <c r="R839" s="540"/>
      <c r="S839" s="9"/>
      <c r="T839" s="9"/>
      <c r="U839" s="9"/>
      <c r="V839" s="74"/>
      <c r="W839" s="9"/>
      <c r="X839" s="74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316"/>
      <c r="AQ839" s="8"/>
    </row>
    <row r="840" spans="1:43" ht="25.15" customHeight="1" x14ac:dyDescent="0.25">
      <c r="A840" s="1235">
        <v>25</v>
      </c>
      <c r="B840" s="1289">
        <v>1959999</v>
      </c>
      <c r="C840" s="1193" t="s">
        <v>812</v>
      </c>
      <c r="D840" s="1273" t="s">
        <v>45</v>
      </c>
      <c r="E840" s="1474">
        <v>15.119</v>
      </c>
      <c r="F840" s="1520">
        <v>84970</v>
      </c>
      <c r="G840" s="1198" t="s">
        <v>1061</v>
      </c>
      <c r="H840" s="1198" t="s">
        <v>1062</v>
      </c>
      <c r="I840" s="1190" t="s">
        <v>7</v>
      </c>
      <c r="J840" s="1041">
        <v>12.337999999999999</v>
      </c>
      <c r="K840" s="162" t="s">
        <v>2</v>
      </c>
      <c r="L840" s="1191">
        <f>105311.006-L842-L843+39322.594</f>
        <v>143021.58899999998</v>
      </c>
      <c r="M840" s="178"/>
      <c r="N840" s="9"/>
      <c r="O840" s="65"/>
      <c r="P840" s="74"/>
      <c r="Q840" s="9"/>
      <c r="R840" s="1030"/>
      <c r="S840" s="9"/>
      <c r="T840" s="9"/>
      <c r="U840" s="9"/>
      <c r="V840" s="74"/>
      <c r="W840" s="9"/>
      <c r="X840" s="74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316"/>
      <c r="AQ840" s="8"/>
    </row>
    <row r="841" spans="1:43" ht="16.7" customHeight="1" x14ac:dyDescent="0.25">
      <c r="A841" s="1223"/>
      <c r="B841" s="1328"/>
      <c r="C841" s="1304"/>
      <c r="D841" s="1441"/>
      <c r="E841" s="1535"/>
      <c r="F841" s="1521"/>
      <c r="G841" s="1199"/>
      <c r="H841" s="1199"/>
      <c r="I841" s="1226"/>
      <c r="J841" s="1014">
        <v>70141.05</v>
      </c>
      <c r="K841" s="21" t="s">
        <v>3</v>
      </c>
      <c r="L841" s="1192"/>
      <c r="M841" s="178"/>
      <c r="N841" s="9"/>
      <c r="O841" s="65"/>
      <c r="P841" s="74"/>
      <c r="Q841" s="9"/>
      <c r="R841" s="1030"/>
      <c r="S841" s="9"/>
      <c r="T841" s="9"/>
      <c r="U841" s="9"/>
      <c r="V841" s="74"/>
      <c r="W841" s="9"/>
      <c r="X841" s="74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316"/>
      <c r="AQ841" s="8"/>
    </row>
    <row r="842" spans="1:43" ht="16.7" customHeight="1" x14ac:dyDescent="0.25">
      <c r="A842" s="1223"/>
      <c r="B842" s="1328"/>
      <c r="C842" s="1304"/>
      <c r="D842" s="1441"/>
      <c r="E842" s="1535"/>
      <c r="F842" s="1521"/>
      <c r="G842" s="1199"/>
      <c r="H842" s="1199"/>
      <c r="I842" s="1053" t="s">
        <v>8</v>
      </c>
      <c r="J842" s="153">
        <v>13.931800000000001</v>
      </c>
      <c r="K842" s="21" t="s">
        <v>2</v>
      </c>
      <c r="L842" s="908">
        <v>210.096</v>
      </c>
      <c r="M842" s="178"/>
      <c r="N842" s="9"/>
      <c r="O842" s="65"/>
      <c r="P842" s="74"/>
      <c r="Q842" s="9"/>
      <c r="R842" s="1030"/>
      <c r="S842" s="9"/>
      <c r="T842" s="9"/>
      <c r="U842" s="9"/>
      <c r="V842" s="74"/>
      <c r="W842" s="9"/>
      <c r="X842" s="74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316"/>
      <c r="AQ842" s="8"/>
    </row>
    <row r="843" spans="1:43" ht="16.7" customHeight="1" thickBot="1" x14ac:dyDescent="0.3">
      <c r="A843" s="1224"/>
      <c r="B843" s="1234"/>
      <c r="C843" s="1194"/>
      <c r="D843" s="1274"/>
      <c r="E843" s="1475"/>
      <c r="F843" s="1522"/>
      <c r="G843" s="1200"/>
      <c r="H843" s="1200"/>
      <c r="I843" s="1113" t="s">
        <v>32</v>
      </c>
      <c r="J843" s="248">
        <v>185</v>
      </c>
      <c r="K843" s="158" t="s">
        <v>10</v>
      </c>
      <c r="L843" s="861">
        <v>1401.915</v>
      </c>
      <c r="M843" s="178"/>
      <c r="N843" s="9"/>
      <c r="O843" s="65"/>
      <c r="P843" s="74"/>
      <c r="Q843" s="9"/>
      <c r="R843" s="1030"/>
      <c r="S843" s="9"/>
      <c r="T843" s="9"/>
      <c r="U843" s="9"/>
      <c r="V843" s="74"/>
      <c r="W843" s="9"/>
      <c r="X843" s="74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316"/>
      <c r="AQ843" s="8"/>
    </row>
    <row r="844" spans="1:43" ht="13.5" hidden="1" customHeight="1" x14ac:dyDescent="0.25">
      <c r="A844" s="61">
        <f>A840+1</f>
        <v>26</v>
      </c>
      <c r="B844" s="898"/>
      <c r="C844" s="996" t="s">
        <v>813</v>
      </c>
      <c r="D844" s="936" t="s">
        <v>863</v>
      </c>
      <c r="E844" s="991">
        <v>1.42</v>
      </c>
      <c r="F844" s="1037">
        <v>9320</v>
      </c>
      <c r="G844" s="369"/>
      <c r="H844" s="369"/>
      <c r="I844" s="360"/>
      <c r="J844" s="896"/>
      <c r="K844" s="893"/>
      <c r="L844" s="896"/>
      <c r="M844" s="27"/>
      <c r="N844" s="27"/>
      <c r="O844" s="361"/>
      <c r="P844" s="362"/>
      <c r="Q844" s="27"/>
      <c r="R844" s="541"/>
      <c r="S844" s="363"/>
      <c r="T844" s="27"/>
      <c r="U844" s="27"/>
      <c r="V844" s="362"/>
      <c r="W844" s="27"/>
      <c r="X844" s="74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316"/>
      <c r="AQ844" s="8"/>
    </row>
    <row r="845" spans="1:43" ht="16.7" hidden="1" customHeight="1" x14ac:dyDescent="0.25">
      <c r="A845" s="11">
        <f t="shared" si="9"/>
        <v>27</v>
      </c>
      <c r="B845" s="963" t="s">
        <v>895</v>
      </c>
      <c r="C845" s="72" t="s">
        <v>814</v>
      </c>
      <c r="D845" s="1133" t="s">
        <v>864</v>
      </c>
      <c r="E845" s="13">
        <v>1.85</v>
      </c>
      <c r="F845" s="17"/>
      <c r="G845" s="359"/>
      <c r="H845" s="359"/>
      <c r="I845" s="360"/>
      <c r="J845" s="1012"/>
      <c r="K845" s="893"/>
      <c r="L845" s="1012"/>
      <c r="M845" s="27"/>
      <c r="N845" s="27"/>
      <c r="O845" s="361"/>
      <c r="P845" s="362"/>
      <c r="Q845" s="27"/>
      <c r="R845" s="541"/>
      <c r="S845" s="363"/>
      <c r="T845" s="27"/>
      <c r="U845" s="27"/>
      <c r="V845" s="362"/>
      <c r="W845" s="27"/>
      <c r="X845" s="74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316"/>
      <c r="AQ845" s="8"/>
    </row>
    <row r="846" spans="1:43" ht="13.15" hidden="1" customHeight="1" x14ac:dyDescent="0.25">
      <c r="A846" s="156">
        <f t="shared" si="9"/>
        <v>28</v>
      </c>
      <c r="B846" s="892" t="s">
        <v>895</v>
      </c>
      <c r="C846" s="479" t="s">
        <v>815</v>
      </c>
      <c r="D846" s="1132" t="s">
        <v>865</v>
      </c>
      <c r="E846" s="444">
        <f>8.414-5.117</f>
        <v>3.2969999999999997</v>
      </c>
      <c r="F846" s="480"/>
      <c r="G846" s="367"/>
      <c r="H846" s="367"/>
      <c r="I846" s="368"/>
      <c r="J846" s="897"/>
      <c r="K846" s="1099"/>
      <c r="L846" s="897"/>
      <c r="M846" s="1127"/>
      <c r="N846" s="1127"/>
      <c r="O846" s="370"/>
      <c r="P846" s="371"/>
      <c r="Q846" s="1127"/>
      <c r="R846" s="554"/>
      <c r="S846" s="458"/>
      <c r="T846" s="1127"/>
      <c r="U846" s="1127"/>
      <c r="V846" s="371"/>
      <c r="W846" s="1127"/>
      <c r="X846" s="234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51"/>
      <c r="AL846" s="51"/>
      <c r="AM846" s="51"/>
      <c r="AN846" s="51"/>
      <c r="AO846" s="51"/>
      <c r="AP846" s="316"/>
      <c r="AQ846" s="8"/>
    </row>
    <row r="847" spans="1:43" s="23" customFormat="1" ht="22.5" customHeight="1" x14ac:dyDescent="0.25">
      <c r="A847" s="1540">
        <v>26</v>
      </c>
      <c r="B847" s="1518">
        <v>1960199</v>
      </c>
      <c r="C847" s="1557" t="s">
        <v>1165</v>
      </c>
      <c r="D847" s="1518" t="s">
        <v>757</v>
      </c>
      <c r="E847" s="1343">
        <v>8.16</v>
      </c>
      <c r="F847" s="1542">
        <v>48960</v>
      </c>
      <c r="G847" s="472"/>
      <c r="H847" s="472"/>
      <c r="I847" s="473"/>
      <c r="J847" s="927"/>
      <c r="K847" s="964"/>
      <c r="L847" s="927"/>
      <c r="M847" s="1281" t="s">
        <v>1031</v>
      </c>
      <c r="N847" s="1281" t="s">
        <v>1173</v>
      </c>
      <c r="O847" s="1207" t="s">
        <v>7</v>
      </c>
      <c r="P847" s="913">
        <v>8.16</v>
      </c>
      <c r="Q847" s="964" t="s">
        <v>2</v>
      </c>
      <c r="R847" s="1678">
        <v>143642.90220000001</v>
      </c>
      <c r="S847" s="1281" t="s">
        <v>1031</v>
      </c>
      <c r="T847" s="1281" t="s">
        <v>1173</v>
      </c>
      <c r="U847" s="1207" t="s">
        <v>1181</v>
      </c>
      <c r="V847" s="913"/>
      <c r="W847" s="964" t="s">
        <v>2</v>
      </c>
      <c r="X847" s="1678">
        <v>2597.4662499999999</v>
      </c>
      <c r="Y847" s="1281" t="s">
        <v>1031</v>
      </c>
      <c r="Z847" s="1281" t="s">
        <v>1173</v>
      </c>
      <c r="AA847" s="1207" t="s">
        <v>1181</v>
      </c>
      <c r="AB847" s="913"/>
      <c r="AC847" s="964" t="s">
        <v>2</v>
      </c>
      <c r="AD847" s="1702">
        <v>2766.3020000000001</v>
      </c>
      <c r="AE847" s="1281" t="s">
        <v>1031</v>
      </c>
      <c r="AF847" s="1281" t="s">
        <v>1173</v>
      </c>
      <c r="AG847" s="1207" t="s">
        <v>1181</v>
      </c>
      <c r="AH847" s="913"/>
      <c r="AI847" s="964" t="s">
        <v>2</v>
      </c>
      <c r="AJ847" s="1248">
        <v>2951.6439999999998</v>
      </c>
      <c r="AK847" s="178"/>
      <c r="AL847" s="9"/>
      <c r="AM847" s="9"/>
      <c r="AN847" s="9"/>
      <c r="AO847" s="9"/>
      <c r="AP847" s="337"/>
      <c r="AQ847" s="22"/>
    </row>
    <row r="848" spans="1:43" s="23" customFormat="1" ht="22.5" customHeight="1" thickBot="1" x14ac:dyDescent="0.3">
      <c r="A848" s="1541"/>
      <c r="B848" s="1519"/>
      <c r="C848" s="1558"/>
      <c r="D848" s="1519"/>
      <c r="E848" s="1345"/>
      <c r="F848" s="1299"/>
      <c r="G848" s="474"/>
      <c r="H848" s="474"/>
      <c r="I848" s="1112"/>
      <c r="J848" s="475"/>
      <c r="K848" s="919"/>
      <c r="L848" s="475"/>
      <c r="M848" s="1246"/>
      <c r="N848" s="1246"/>
      <c r="O848" s="1469"/>
      <c r="P848" s="1024">
        <v>49564</v>
      </c>
      <c r="Q848" s="965" t="s">
        <v>3</v>
      </c>
      <c r="R848" s="1704"/>
      <c r="S848" s="1246"/>
      <c r="T848" s="1246"/>
      <c r="U848" s="1469"/>
      <c r="V848" s="1024"/>
      <c r="W848" s="965" t="s">
        <v>3</v>
      </c>
      <c r="X848" s="1704"/>
      <c r="Y848" s="1246"/>
      <c r="Z848" s="1246"/>
      <c r="AA848" s="1469"/>
      <c r="AB848" s="1024"/>
      <c r="AC848" s="965" t="s">
        <v>3</v>
      </c>
      <c r="AD848" s="1703"/>
      <c r="AE848" s="1246"/>
      <c r="AF848" s="1246"/>
      <c r="AG848" s="1469"/>
      <c r="AH848" s="1024"/>
      <c r="AI848" s="965" t="s">
        <v>3</v>
      </c>
      <c r="AJ848" s="1708"/>
      <c r="AK848" s="178"/>
      <c r="AL848" s="9"/>
      <c r="AM848" s="9"/>
      <c r="AN848" s="9"/>
      <c r="AO848" s="9"/>
      <c r="AP848" s="337"/>
      <c r="AQ848" s="22"/>
    </row>
    <row r="849" spans="1:43" s="7" customFormat="1" ht="26.65" customHeight="1" x14ac:dyDescent="0.25">
      <c r="A849" s="1223">
        <v>27</v>
      </c>
      <c r="B849" s="1180">
        <v>1960207</v>
      </c>
      <c r="C849" s="1304" t="s">
        <v>108</v>
      </c>
      <c r="D849" s="1328" t="s">
        <v>130</v>
      </c>
      <c r="E849" s="1341">
        <v>44.74</v>
      </c>
      <c r="F849" s="1545">
        <v>308350</v>
      </c>
      <c r="G849" s="512"/>
      <c r="H849" s="512"/>
      <c r="I849" s="981"/>
      <c r="J849" s="1076"/>
      <c r="K849" s="944"/>
      <c r="L849" s="912"/>
      <c r="M849" s="1180" t="s">
        <v>1206</v>
      </c>
      <c r="N849" s="1180" t="s">
        <v>1207</v>
      </c>
      <c r="O849" s="1226" t="s">
        <v>7</v>
      </c>
      <c r="P849" s="269">
        <v>4.41</v>
      </c>
      <c r="Q849" s="944" t="s">
        <v>2</v>
      </c>
      <c r="R849" s="1388">
        <v>54541.451999999997</v>
      </c>
      <c r="S849" s="187"/>
      <c r="T849" s="187"/>
      <c r="U849" s="187"/>
      <c r="V849" s="186"/>
      <c r="W849" s="187"/>
      <c r="X849" s="186"/>
      <c r="Y849" s="498"/>
      <c r="Z849" s="498"/>
      <c r="AA849" s="498"/>
      <c r="AB849" s="498"/>
      <c r="AC849" s="498"/>
      <c r="AD849" s="498"/>
      <c r="AE849" s="513"/>
      <c r="AF849" s="498"/>
      <c r="AG849" s="498"/>
      <c r="AH849" s="498"/>
      <c r="AI849" s="498"/>
      <c r="AJ849" s="498"/>
      <c r="AK849" s="498"/>
      <c r="AL849" s="498"/>
      <c r="AM849" s="105"/>
      <c r="AN849" s="105"/>
      <c r="AO849" s="105"/>
      <c r="AP849" s="496"/>
      <c r="AQ849" s="108"/>
    </row>
    <row r="850" spans="1:43" s="7" customFormat="1" ht="25.15" customHeight="1" thickBot="1" x14ac:dyDescent="0.3">
      <c r="A850" s="1223"/>
      <c r="B850" s="1180"/>
      <c r="C850" s="1304"/>
      <c r="D850" s="1328"/>
      <c r="E850" s="1341"/>
      <c r="F850" s="1545"/>
      <c r="G850" s="497"/>
      <c r="H850" s="497"/>
      <c r="I850" s="976"/>
      <c r="J850" s="1075"/>
      <c r="K850" s="1049"/>
      <c r="L850" s="1087"/>
      <c r="M850" s="1180"/>
      <c r="N850" s="1180"/>
      <c r="O850" s="1691"/>
      <c r="P850" s="1087">
        <v>32742</v>
      </c>
      <c r="Q850" s="1049" t="s">
        <v>3</v>
      </c>
      <c r="R850" s="1388"/>
      <c r="S850" s="187"/>
      <c r="T850" s="68"/>
      <c r="U850" s="68"/>
      <c r="V850" s="137"/>
      <c r="W850" s="68"/>
      <c r="X850" s="137"/>
      <c r="Y850" s="105"/>
      <c r="Z850" s="105"/>
      <c r="AA850" s="105"/>
      <c r="AB850" s="105"/>
      <c r="AC850" s="105"/>
      <c r="AD850" s="105"/>
      <c r="AE850" s="513"/>
      <c r="AF850" s="498"/>
      <c r="AG850" s="498"/>
      <c r="AH850" s="498"/>
      <c r="AI850" s="498"/>
      <c r="AJ850" s="498"/>
      <c r="AK850" s="498"/>
      <c r="AL850" s="498"/>
      <c r="AM850" s="105"/>
      <c r="AN850" s="105"/>
      <c r="AO850" s="105"/>
      <c r="AP850" s="496"/>
      <c r="AQ850" s="108"/>
    </row>
    <row r="851" spans="1:43" s="7" customFormat="1" ht="22.15" customHeight="1" x14ac:dyDescent="0.25">
      <c r="A851" s="1331">
        <v>28</v>
      </c>
      <c r="B851" s="1240">
        <v>1960160</v>
      </c>
      <c r="C851" s="1185" t="s">
        <v>872</v>
      </c>
      <c r="D851" s="1319" t="s">
        <v>501</v>
      </c>
      <c r="E851" s="1312">
        <v>32.927</v>
      </c>
      <c r="F851" s="1544">
        <v>201048</v>
      </c>
      <c r="G851" s="495"/>
      <c r="H851" s="495"/>
      <c r="I851" s="1052"/>
      <c r="J851" s="900"/>
      <c r="K851" s="881"/>
      <c r="L851" s="910"/>
      <c r="M851" s="1240" t="s">
        <v>1209</v>
      </c>
      <c r="N851" s="1240" t="s">
        <v>1210</v>
      </c>
      <c r="O851" s="1207" t="s">
        <v>7</v>
      </c>
      <c r="P851" s="929">
        <v>2.7160000000000002</v>
      </c>
      <c r="Q851" s="881" t="s">
        <v>2</v>
      </c>
      <c r="R851" s="1191">
        <f>35954.66587-R853</f>
        <v>35689.047869999995</v>
      </c>
      <c r="S851" s="227"/>
      <c r="T851" s="68"/>
      <c r="U851" s="68"/>
      <c r="V851" s="137"/>
      <c r="W851" s="68"/>
      <c r="X851" s="137"/>
      <c r="Y851" s="105"/>
      <c r="Z851" s="105"/>
      <c r="AA851" s="105"/>
      <c r="AB851" s="105"/>
      <c r="AC851" s="105"/>
      <c r="AD851" s="105"/>
      <c r="AE851" s="513"/>
      <c r="AF851" s="498"/>
      <c r="AG851" s="498"/>
      <c r="AH851" s="498"/>
      <c r="AI851" s="498"/>
      <c r="AJ851" s="498"/>
      <c r="AK851" s="498"/>
      <c r="AL851" s="498"/>
      <c r="AM851" s="105"/>
      <c r="AN851" s="105"/>
      <c r="AO851" s="105"/>
      <c r="AP851" s="496"/>
      <c r="AQ851" s="108"/>
    </row>
    <row r="852" spans="1:43" s="7" customFormat="1" ht="25.15" customHeight="1" x14ac:dyDescent="0.25">
      <c r="A852" s="1332"/>
      <c r="B852" s="1218"/>
      <c r="C852" s="1186"/>
      <c r="D852" s="1320"/>
      <c r="E852" s="1313"/>
      <c r="F852" s="1205"/>
      <c r="G852" s="514"/>
      <c r="H852" s="514"/>
      <c r="I852" s="1053"/>
      <c r="J852" s="901"/>
      <c r="K852" s="882"/>
      <c r="L852" s="911"/>
      <c r="M852" s="1218"/>
      <c r="N852" s="1218"/>
      <c r="O852" s="1157"/>
      <c r="P852" s="911">
        <v>16296</v>
      </c>
      <c r="Q852" s="882" t="s">
        <v>3</v>
      </c>
      <c r="R852" s="1192"/>
      <c r="S852" s="227"/>
      <c r="T852" s="68"/>
      <c r="U852" s="68"/>
      <c r="V852" s="137"/>
      <c r="W852" s="68"/>
      <c r="X852" s="137"/>
      <c r="Y852" s="105"/>
      <c r="Z852" s="105"/>
      <c r="AA852" s="105"/>
      <c r="AB852" s="105"/>
      <c r="AC852" s="105"/>
      <c r="AD852" s="105"/>
      <c r="AE852" s="513"/>
      <c r="AF852" s="498"/>
      <c r="AG852" s="498"/>
      <c r="AH852" s="498"/>
      <c r="AI852" s="498"/>
      <c r="AJ852" s="498"/>
      <c r="AK852" s="498"/>
      <c r="AL852" s="498"/>
      <c r="AM852" s="105"/>
      <c r="AN852" s="105"/>
      <c r="AO852" s="105"/>
      <c r="AP852" s="496"/>
      <c r="AQ852" s="108"/>
    </row>
    <row r="853" spans="1:43" s="7" customFormat="1" ht="41.25" customHeight="1" thickBot="1" x14ac:dyDescent="0.3">
      <c r="A853" s="1333"/>
      <c r="B853" s="1241"/>
      <c r="C853" s="1318"/>
      <c r="D853" s="1321"/>
      <c r="E853" s="1314"/>
      <c r="F853" s="1206"/>
      <c r="G853" s="515"/>
      <c r="H853" s="515"/>
      <c r="I853" s="1113"/>
      <c r="J853" s="176"/>
      <c r="K853" s="889"/>
      <c r="L853" s="943"/>
      <c r="M853" s="1241"/>
      <c r="N853" s="1241"/>
      <c r="O853" s="891" t="s">
        <v>32</v>
      </c>
      <c r="P853" s="943">
        <v>56</v>
      </c>
      <c r="Q853" s="889" t="s">
        <v>10</v>
      </c>
      <c r="R853" s="861">
        <v>265.61799999999999</v>
      </c>
      <c r="S853" s="227"/>
      <c r="T853" s="68"/>
      <c r="U853" s="68"/>
      <c r="V853" s="137"/>
      <c r="W853" s="68"/>
      <c r="X853" s="137"/>
      <c r="Y853" s="105"/>
      <c r="Z853" s="105"/>
      <c r="AA853" s="105"/>
      <c r="AB853" s="105"/>
      <c r="AC853" s="105"/>
      <c r="AD853" s="105"/>
      <c r="AE853" s="513"/>
      <c r="AF853" s="498"/>
      <c r="AG853" s="498"/>
      <c r="AH853" s="498"/>
      <c r="AI853" s="498"/>
      <c r="AJ853" s="498"/>
      <c r="AK853" s="498"/>
      <c r="AL853" s="498"/>
      <c r="AM853" s="105"/>
      <c r="AN853" s="105"/>
      <c r="AO853" s="105"/>
      <c r="AP853" s="496"/>
      <c r="AQ853" s="108"/>
    </row>
    <row r="854" spans="1:43" s="7" customFormat="1" ht="22.5" customHeight="1" x14ac:dyDescent="0.25">
      <c r="A854" s="1559">
        <v>29</v>
      </c>
      <c r="B854" s="1152">
        <v>1960362</v>
      </c>
      <c r="C854" s="1257" t="s">
        <v>277</v>
      </c>
      <c r="D854" s="1368" t="s">
        <v>533</v>
      </c>
      <c r="E854" s="1262">
        <v>27.22</v>
      </c>
      <c r="F854" s="1204">
        <v>184809</v>
      </c>
      <c r="G854" s="512"/>
      <c r="H854" s="512"/>
      <c r="I854" s="981"/>
      <c r="J854" s="1076"/>
      <c r="K854" s="944"/>
      <c r="L854" s="912"/>
      <c r="M854" s="1152" t="s">
        <v>1066</v>
      </c>
      <c r="N854" s="1152" t="s">
        <v>1211</v>
      </c>
      <c r="O854" s="1226" t="s">
        <v>7</v>
      </c>
      <c r="P854" s="1078">
        <v>7.6</v>
      </c>
      <c r="Q854" s="944" t="s">
        <v>2</v>
      </c>
      <c r="R854" s="1408">
        <f>68613.00732-R856-R857</f>
        <v>68049.627410000001</v>
      </c>
      <c r="S854" s="227"/>
      <c r="T854" s="68"/>
      <c r="U854" s="68"/>
      <c r="V854" s="137"/>
      <c r="W854" s="68"/>
      <c r="X854" s="137"/>
      <c r="Y854" s="105"/>
      <c r="Z854" s="105"/>
      <c r="AA854" s="105"/>
      <c r="AB854" s="105"/>
      <c r="AC854" s="105"/>
      <c r="AD854" s="105"/>
      <c r="AE854" s="513"/>
      <c r="AF854" s="498"/>
      <c r="AG854" s="498"/>
      <c r="AH854" s="498"/>
      <c r="AI854" s="498"/>
      <c r="AJ854" s="498"/>
      <c r="AK854" s="498"/>
      <c r="AL854" s="498"/>
      <c r="AM854" s="105"/>
      <c r="AN854" s="105"/>
      <c r="AO854" s="105"/>
      <c r="AP854" s="496"/>
      <c r="AQ854" s="108"/>
    </row>
    <row r="855" spans="1:43" s="7" customFormat="1" ht="24.4" customHeight="1" x14ac:dyDescent="0.25">
      <c r="A855" s="1332"/>
      <c r="B855" s="1218"/>
      <c r="C855" s="1186"/>
      <c r="D855" s="1320"/>
      <c r="E855" s="1313"/>
      <c r="F855" s="1205"/>
      <c r="G855" s="514"/>
      <c r="H855" s="514"/>
      <c r="I855" s="1053"/>
      <c r="J855" s="901"/>
      <c r="K855" s="882"/>
      <c r="L855" s="911"/>
      <c r="M855" s="1218"/>
      <c r="N855" s="1218"/>
      <c r="O855" s="1157"/>
      <c r="P855" s="911">
        <v>46678</v>
      </c>
      <c r="Q855" s="882" t="s">
        <v>3</v>
      </c>
      <c r="R855" s="1192"/>
      <c r="S855" s="227"/>
      <c r="T855" s="68"/>
      <c r="U855" s="68"/>
      <c r="V855" s="137"/>
      <c r="W855" s="68"/>
      <c r="X855" s="137"/>
      <c r="Y855" s="105"/>
      <c r="Z855" s="105"/>
      <c r="AA855" s="105"/>
      <c r="AB855" s="105"/>
      <c r="AC855" s="105"/>
      <c r="AD855" s="105"/>
      <c r="AE855" s="513"/>
      <c r="AF855" s="498"/>
      <c r="AG855" s="498"/>
      <c r="AH855" s="498"/>
      <c r="AI855" s="498"/>
      <c r="AJ855" s="498"/>
      <c r="AK855" s="498"/>
      <c r="AL855" s="498"/>
      <c r="AM855" s="105"/>
      <c r="AN855" s="105"/>
      <c r="AO855" s="105"/>
      <c r="AP855" s="496"/>
      <c r="AQ855" s="108"/>
    </row>
    <row r="856" spans="1:43" s="7" customFormat="1" ht="23.1" customHeight="1" x14ac:dyDescent="0.25">
      <c r="A856" s="1332"/>
      <c r="B856" s="1218"/>
      <c r="C856" s="1186"/>
      <c r="D856" s="1320"/>
      <c r="E856" s="1313"/>
      <c r="F856" s="1205"/>
      <c r="G856" s="514"/>
      <c r="H856" s="514"/>
      <c r="I856" s="1053"/>
      <c r="J856" s="901"/>
      <c r="K856" s="882"/>
      <c r="L856" s="911"/>
      <c r="M856" s="1218"/>
      <c r="N856" s="1218"/>
      <c r="O856" s="1053" t="s">
        <v>8</v>
      </c>
      <c r="P856" s="930">
        <v>8.0220000000000002</v>
      </c>
      <c r="Q856" s="318" t="s">
        <v>2</v>
      </c>
      <c r="R856" s="679">
        <v>98.772909999999996</v>
      </c>
      <c r="S856" s="227"/>
      <c r="T856" s="68"/>
      <c r="U856" s="68"/>
      <c r="V856" s="137"/>
      <c r="W856" s="68"/>
      <c r="X856" s="137"/>
      <c r="Y856" s="105"/>
      <c r="Z856" s="105"/>
      <c r="AA856" s="105"/>
      <c r="AB856" s="105"/>
      <c r="AC856" s="105"/>
      <c r="AD856" s="105"/>
      <c r="AE856" s="513"/>
      <c r="AF856" s="498"/>
      <c r="AG856" s="498"/>
      <c r="AH856" s="498"/>
      <c r="AI856" s="498"/>
      <c r="AJ856" s="498"/>
      <c r="AK856" s="498"/>
      <c r="AL856" s="498"/>
      <c r="AM856" s="105"/>
      <c r="AN856" s="105"/>
      <c r="AO856" s="105"/>
      <c r="AP856" s="496"/>
      <c r="AQ856" s="108"/>
    </row>
    <row r="857" spans="1:43" s="7" customFormat="1" ht="40.5" customHeight="1" thickBot="1" x14ac:dyDescent="0.3">
      <c r="A857" s="1333"/>
      <c r="B857" s="1241"/>
      <c r="C857" s="1318"/>
      <c r="D857" s="1321"/>
      <c r="E857" s="1314"/>
      <c r="F857" s="1206"/>
      <c r="G857" s="515"/>
      <c r="H857" s="515"/>
      <c r="I857" s="1113"/>
      <c r="J857" s="176"/>
      <c r="K857" s="889"/>
      <c r="L857" s="943"/>
      <c r="M857" s="1241"/>
      <c r="N857" s="1241"/>
      <c r="O857" s="891" t="s">
        <v>32</v>
      </c>
      <c r="P857" s="381">
        <v>72</v>
      </c>
      <c r="Q857" s="169" t="s">
        <v>10</v>
      </c>
      <c r="R857" s="678">
        <v>464.60700000000003</v>
      </c>
      <c r="S857" s="227"/>
      <c r="T857" s="68"/>
      <c r="U857" s="68"/>
      <c r="V857" s="137"/>
      <c r="W857" s="68"/>
      <c r="X857" s="137"/>
      <c r="Y857" s="105"/>
      <c r="Z857" s="105"/>
      <c r="AA857" s="105"/>
      <c r="AB857" s="105"/>
      <c r="AC857" s="105"/>
      <c r="AD857" s="105"/>
      <c r="AE857" s="513"/>
      <c r="AF857" s="498"/>
      <c r="AG857" s="498"/>
      <c r="AH857" s="498"/>
      <c r="AI857" s="498"/>
      <c r="AJ857" s="498"/>
      <c r="AK857" s="498"/>
      <c r="AL857" s="498"/>
      <c r="AM857" s="105"/>
      <c r="AN857" s="105"/>
      <c r="AO857" s="105"/>
      <c r="AP857" s="496"/>
      <c r="AQ857" s="108"/>
    </row>
    <row r="858" spans="1:43" s="7" customFormat="1" ht="24.4" customHeight="1" x14ac:dyDescent="0.25">
      <c r="A858" s="1223">
        <v>30</v>
      </c>
      <c r="B858" s="1180">
        <v>1960379</v>
      </c>
      <c r="C858" s="1304" t="s">
        <v>404</v>
      </c>
      <c r="D858" s="1328" t="s">
        <v>718</v>
      </c>
      <c r="E858" s="1341">
        <v>11.138</v>
      </c>
      <c r="F858" s="1545">
        <v>61259</v>
      </c>
      <c r="G858" s="512"/>
      <c r="H858" s="512"/>
      <c r="I858" s="981"/>
      <c r="J858" s="1076"/>
      <c r="K858" s="944"/>
      <c r="L858" s="912"/>
      <c r="M858" s="1180" t="s">
        <v>1031</v>
      </c>
      <c r="N858" s="1180" t="s">
        <v>1216</v>
      </c>
      <c r="O858" s="1226" t="s">
        <v>7</v>
      </c>
      <c r="P858" s="1078">
        <v>11.138</v>
      </c>
      <c r="Q858" s="944" t="s">
        <v>2</v>
      </c>
      <c r="R858" s="1388">
        <f>116310.273-R860-R861</f>
        <v>115516.484</v>
      </c>
      <c r="S858" s="187"/>
      <c r="T858" s="68"/>
      <c r="U858" s="68"/>
      <c r="V858" s="137"/>
      <c r="W858" s="68"/>
      <c r="X858" s="137"/>
      <c r="Y858" s="105"/>
      <c r="Z858" s="105"/>
      <c r="AA858" s="105"/>
      <c r="AB858" s="105"/>
      <c r="AC858" s="105"/>
      <c r="AD858" s="105"/>
      <c r="AE858" s="513"/>
      <c r="AF858" s="498"/>
      <c r="AG858" s="498"/>
      <c r="AH858" s="498"/>
      <c r="AI858" s="498"/>
      <c r="AJ858" s="498"/>
      <c r="AK858" s="498"/>
      <c r="AL858" s="498"/>
      <c r="AM858" s="105"/>
      <c r="AN858" s="105"/>
      <c r="AO858" s="105"/>
      <c r="AP858" s="496"/>
      <c r="AQ858" s="108"/>
    </row>
    <row r="859" spans="1:43" s="7" customFormat="1" ht="24.4" customHeight="1" x14ac:dyDescent="0.25">
      <c r="A859" s="1223"/>
      <c r="B859" s="1180"/>
      <c r="C859" s="1304"/>
      <c r="D859" s="1328"/>
      <c r="E859" s="1341"/>
      <c r="F859" s="1545"/>
      <c r="G859" s="497"/>
      <c r="H859" s="497"/>
      <c r="I859" s="976"/>
      <c r="J859" s="1075"/>
      <c r="K859" s="1049"/>
      <c r="L859" s="1087"/>
      <c r="M859" s="1180"/>
      <c r="N859" s="1180"/>
      <c r="O859" s="1691"/>
      <c r="P859" s="1087">
        <v>63935.5</v>
      </c>
      <c r="Q859" s="1049" t="s">
        <v>3</v>
      </c>
      <c r="R859" s="1680"/>
      <c r="S859" s="68"/>
      <c r="T859" s="68"/>
      <c r="U859" s="68"/>
      <c r="V859" s="137"/>
      <c r="W859" s="68"/>
      <c r="X859" s="137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498"/>
      <c r="AM859" s="105"/>
      <c r="AN859" s="105"/>
      <c r="AO859" s="105"/>
      <c r="AP859" s="496"/>
      <c r="AQ859" s="108"/>
    </row>
    <row r="860" spans="1:43" s="7" customFormat="1" ht="21.2" customHeight="1" x14ac:dyDescent="0.25">
      <c r="A860" s="1223"/>
      <c r="B860" s="1180"/>
      <c r="C860" s="1304"/>
      <c r="D860" s="1328"/>
      <c r="E860" s="1341"/>
      <c r="F860" s="1545"/>
      <c r="G860" s="516"/>
      <c r="H860" s="516"/>
      <c r="I860" s="977"/>
      <c r="J860" s="229"/>
      <c r="K860" s="884"/>
      <c r="L860" s="997"/>
      <c r="M860" s="1180"/>
      <c r="N860" s="1180"/>
      <c r="O860" s="1053" t="s">
        <v>8</v>
      </c>
      <c r="P860" s="930">
        <v>11.54</v>
      </c>
      <c r="Q860" s="318" t="s">
        <v>2</v>
      </c>
      <c r="R860" s="461">
        <v>119.977</v>
      </c>
      <c r="S860" s="68"/>
      <c r="T860" s="68"/>
      <c r="U860" s="68"/>
      <c r="V860" s="137"/>
      <c r="W860" s="68"/>
      <c r="X860" s="137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498"/>
      <c r="AM860" s="105"/>
      <c r="AN860" s="105"/>
      <c r="AO860" s="105"/>
      <c r="AP860" s="496"/>
      <c r="AQ860" s="517"/>
    </row>
    <row r="861" spans="1:43" s="7" customFormat="1" ht="36.75" customHeight="1" thickBot="1" x14ac:dyDescent="0.3">
      <c r="A861" s="1223"/>
      <c r="B861" s="1181"/>
      <c r="C861" s="1277"/>
      <c r="D861" s="1500"/>
      <c r="E861" s="1552"/>
      <c r="F861" s="1841"/>
      <c r="G861" s="625"/>
      <c r="H861" s="625"/>
      <c r="I861" s="1122"/>
      <c r="J861" s="1063"/>
      <c r="K861" s="988"/>
      <c r="L861" s="1019"/>
      <c r="M861" s="1181"/>
      <c r="N861" s="1181"/>
      <c r="O861" s="880" t="s">
        <v>32</v>
      </c>
      <c r="P861" s="1075">
        <v>114</v>
      </c>
      <c r="Q861" s="383" t="s">
        <v>10</v>
      </c>
      <c r="R861" s="604">
        <v>673.81200000000001</v>
      </c>
      <c r="S861" s="189"/>
      <c r="T861" s="189"/>
      <c r="U861" s="189"/>
      <c r="V861" s="188"/>
      <c r="W861" s="189"/>
      <c r="X861" s="188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621"/>
      <c r="AM861" s="500"/>
      <c r="AN861" s="500"/>
      <c r="AO861" s="500"/>
      <c r="AP861" s="622"/>
      <c r="AQ861" s="517"/>
    </row>
    <row r="862" spans="1:43" ht="29.65" customHeight="1" x14ac:dyDescent="0.25">
      <c r="A862" s="1331">
        <v>31</v>
      </c>
      <c r="B862" s="1240">
        <v>1960244</v>
      </c>
      <c r="C862" s="1185" t="s">
        <v>1238</v>
      </c>
      <c r="D862" s="1240" t="s">
        <v>585</v>
      </c>
      <c r="E862" s="1312">
        <v>10.4</v>
      </c>
      <c r="F862" s="1201">
        <v>67024</v>
      </c>
      <c r="G862" s="968"/>
      <c r="H862" s="968"/>
      <c r="I862" s="1052"/>
      <c r="J862" s="1064"/>
      <c r="K862" s="881"/>
      <c r="L862" s="917"/>
      <c r="M862" s="1240" t="s">
        <v>1031</v>
      </c>
      <c r="N862" s="1240" t="s">
        <v>1239</v>
      </c>
      <c r="O862" s="1207" t="s">
        <v>7</v>
      </c>
      <c r="P862" s="1064"/>
      <c r="Q862" s="881" t="s">
        <v>2</v>
      </c>
      <c r="R862" s="1705">
        <v>6549.0200999999997</v>
      </c>
      <c r="S862" s="1240" t="s">
        <v>1031</v>
      </c>
      <c r="T862" s="1240" t="s">
        <v>1239</v>
      </c>
      <c r="U862" s="1207" t="s">
        <v>7</v>
      </c>
      <c r="V862" s="1064">
        <v>10.269</v>
      </c>
      <c r="W862" s="881" t="s">
        <v>2</v>
      </c>
      <c r="X862" s="1191">
        <v>96799.246799999994</v>
      </c>
      <c r="Y862" s="624"/>
      <c r="Z862" s="1119"/>
      <c r="AA862" s="246"/>
      <c r="AB862" s="1074"/>
      <c r="AC862" s="944"/>
      <c r="AD862" s="635"/>
      <c r="AE862" s="1119"/>
      <c r="AF862" s="1119"/>
      <c r="AG862" s="246"/>
      <c r="AH862" s="1074"/>
      <c r="AI862" s="944"/>
      <c r="AJ862" s="635"/>
      <c r="AK862" s="319"/>
      <c r="AL862" s="51"/>
      <c r="AM862" s="51"/>
      <c r="AN862" s="51"/>
      <c r="AO862" s="51"/>
      <c r="AP862" s="51"/>
      <c r="AQ862" s="26"/>
    </row>
    <row r="863" spans="1:43" ht="29.65" customHeight="1" thickBot="1" x14ac:dyDescent="0.3">
      <c r="A863" s="1332"/>
      <c r="B863" s="1218"/>
      <c r="C863" s="1186"/>
      <c r="D863" s="1218"/>
      <c r="E863" s="1313"/>
      <c r="F863" s="1202"/>
      <c r="G863" s="983"/>
      <c r="H863" s="983"/>
      <c r="I863" s="1053"/>
      <c r="J863" s="25"/>
      <c r="K863" s="887"/>
      <c r="L863" s="53"/>
      <c r="M863" s="1218"/>
      <c r="N863" s="1218"/>
      <c r="O863" s="1157"/>
      <c r="P863" s="969"/>
      <c r="Q863" s="882" t="s">
        <v>3</v>
      </c>
      <c r="R863" s="1706"/>
      <c r="S863" s="1218"/>
      <c r="T863" s="1218"/>
      <c r="U863" s="1157"/>
      <c r="V863" s="969">
        <v>64561</v>
      </c>
      <c r="W863" s="882" t="s">
        <v>3</v>
      </c>
      <c r="X863" s="1192"/>
      <c r="Y863" s="422"/>
      <c r="Z863" s="24"/>
      <c r="AA863" s="206"/>
      <c r="AB863" s="969"/>
      <c r="AC863" s="882"/>
      <c r="AD863" s="152"/>
      <c r="AE863" s="24"/>
      <c r="AF863" s="24"/>
      <c r="AG863" s="206"/>
      <c r="AH863" s="969"/>
      <c r="AI863" s="882"/>
      <c r="AJ863" s="152"/>
      <c r="AK863" s="51"/>
      <c r="AL863" s="51"/>
      <c r="AM863" s="51"/>
      <c r="AN863" s="51"/>
      <c r="AO863" s="51"/>
      <c r="AP863" s="51"/>
      <c r="AQ863" s="26"/>
    </row>
    <row r="864" spans="1:43" s="23" customFormat="1" ht="29.65" hidden="1" customHeight="1" x14ac:dyDescent="0.25">
      <c r="A864" s="1332"/>
      <c r="B864" s="1218"/>
      <c r="C864" s="1186"/>
      <c r="D864" s="1218"/>
      <c r="E864" s="1313"/>
      <c r="F864" s="1202"/>
      <c r="G864" s="983"/>
      <c r="H864" s="983"/>
      <c r="I864" s="1053"/>
      <c r="J864" s="25"/>
      <c r="K864" s="887"/>
      <c r="L864" s="53"/>
      <c r="M864" s="1218"/>
      <c r="N864" s="1218"/>
      <c r="O864" s="1053" t="s">
        <v>8</v>
      </c>
      <c r="P864" s="911"/>
      <c r="Q864" s="42" t="s">
        <v>2</v>
      </c>
      <c r="R864" s="1007"/>
      <c r="S864" s="1218"/>
      <c r="T864" s="1218"/>
      <c r="U864" s="877"/>
      <c r="V864" s="969"/>
      <c r="W864" s="882"/>
      <c r="X864" s="665"/>
      <c r="Y864" s="422"/>
      <c r="Z864" s="24"/>
      <c r="AA864" s="877"/>
      <c r="AB864" s="969"/>
      <c r="AC864" s="882"/>
      <c r="AD864" s="911"/>
      <c r="AE864" s="24"/>
      <c r="AF864" s="24"/>
      <c r="AG864" s="877"/>
      <c r="AH864" s="969"/>
      <c r="AI864" s="882"/>
      <c r="AJ864" s="911"/>
      <c r="AK864" s="9"/>
      <c r="AL864" s="9"/>
      <c r="AM864" s="9"/>
      <c r="AN864" s="9"/>
      <c r="AO864" s="9"/>
      <c r="AP864" s="9"/>
      <c r="AQ864" s="1038"/>
    </row>
    <row r="865" spans="1:43" s="23" customFormat="1" ht="29.65" hidden="1" customHeight="1" x14ac:dyDescent="0.25">
      <c r="A865" s="1332"/>
      <c r="B865" s="1218"/>
      <c r="C865" s="1186"/>
      <c r="D865" s="1218"/>
      <c r="E865" s="1313"/>
      <c r="F865" s="1202"/>
      <c r="G865" s="983"/>
      <c r="H865" s="983"/>
      <c r="I865" s="1053"/>
      <c r="J865" s="25"/>
      <c r="K865" s="887"/>
      <c r="L865" s="53"/>
      <c r="M865" s="1218"/>
      <c r="N865" s="1218"/>
      <c r="O865" s="1053" t="s">
        <v>32</v>
      </c>
      <c r="P865" s="911"/>
      <c r="Q865" s="42" t="s">
        <v>10</v>
      </c>
      <c r="R865" s="1007"/>
      <c r="S865" s="1218"/>
      <c r="T865" s="1218"/>
      <c r="U865" s="877"/>
      <c r="V865" s="969"/>
      <c r="W865" s="882"/>
      <c r="X865" s="665"/>
      <c r="Y865" s="422"/>
      <c r="Z865" s="24"/>
      <c r="AA865" s="877"/>
      <c r="AB865" s="969"/>
      <c r="AC865" s="882"/>
      <c r="AD865" s="911"/>
      <c r="AE865" s="24"/>
      <c r="AF865" s="24"/>
      <c r="AG865" s="877"/>
      <c r="AH865" s="969"/>
      <c r="AI865" s="882"/>
      <c r="AJ865" s="911"/>
      <c r="AK865" s="9"/>
      <c r="AL865" s="9"/>
      <c r="AM865" s="9"/>
      <c r="AN865" s="9"/>
      <c r="AO865" s="9"/>
      <c r="AP865" s="9"/>
      <c r="AQ865" s="1038"/>
    </row>
    <row r="866" spans="1:43" s="23" customFormat="1" ht="29.65" hidden="1" customHeight="1" thickBot="1" x14ac:dyDescent="0.3">
      <c r="A866" s="1546"/>
      <c r="B866" s="1516"/>
      <c r="C866" s="1187"/>
      <c r="D866" s="1516"/>
      <c r="E866" s="1553"/>
      <c r="F866" s="1203"/>
      <c r="G866" s="706"/>
      <c r="H866" s="706"/>
      <c r="I866" s="707"/>
      <c r="J866" s="708"/>
      <c r="K866" s="916"/>
      <c r="L866" s="709"/>
      <c r="M866" s="1516"/>
      <c r="N866" s="1516"/>
      <c r="O866" s="961" t="s">
        <v>1220</v>
      </c>
      <c r="P866" s="2043"/>
      <c r="Q866" s="710" t="s">
        <v>10</v>
      </c>
      <c r="R866" s="1008"/>
      <c r="S866" s="1516"/>
      <c r="T866" s="1516"/>
      <c r="U866" s="961"/>
      <c r="V866" s="1108"/>
      <c r="W866" s="985"/>
      <c r="X866" s="866"/>
      <c r="Y866" s="422"/>
      <c r="Z866" s="24"/>
      <c r="AA866" s="877"/>
      <c r="AB866" s="969"/>
      <c r="AC866" s="882"/>
      <c r="AD866" s="911"/>
      <c r="AE866" s="24"/>
      <c r="AF866" s="24"/>
      <c r="AG866" s="877"/>
      <c r="AH866" s="969"/>
      <c r="AI866" s="882"/>
      <c r="AJ866" s="911"/>
      <c r="AK866" s="9"/>
      <c r="AL866" s="9"/>
      <c r="AM866" s="9"/>
      <c r="AN866" s="9"/>
      <c r="AO866" s="9"/>
      <c r="AP866" s="9"/>
      <c r="AQ866" s="1038"/>
    </row>
    <row r="867" spans="1:43" s="7" customFormat="1" ht="23.25" customHeight="1" x14ac:dyDescent="0.25">
      <c r="A867" s="1227">
        <v>32</v>
      </c>
      <c r="B867" s="1578">
        <v>1960407</v>
      </c>
      <c r="C867" s="1576" t="s">
        <v>227</v>
      </c>
      <c r="D867" s="1253" t="s">
        <v>458</v>
      </c>
      <c r="E867" s="1261">
        <v>12</v>
      </c>
      <c r="F867" s="1523">
        <v>84000</v>
      </c>
      <c r="G867" s="495"/>
      <c r="H867" s="495"/>
      <c r="I867" s="1052"/>
      <c r="J867" s="900"/>
      <c r="K867" s="881"/>
      <c r="L867" s="910"/>
      <c r="M867" s="1240" t="s">
        <v>1031</v>
      </c>
      <c r="N867" s="1240" t="s">
        <v>1066</v>
      </c>
      <c r="O867" s="1207" t="s">
        <v>7</v>
      </c>
      <c r="P867" s="929"/>
      <c r="Q867" s="881" t="s">
        <v>2</v>
      </c>
      <c r="R867" s="1705">
        <f>126929.0479</f>
        <v>126929.04790000001</v>
      </c>
      <c r="S867" s="1578" t="s">
        <v>1031</v>
      </c>
      <c r="T867" s="1578" t="s">
        <v>1066</v>
      </c>
      <c r="U867" s="1207" t="s">
        <v>7</v>
      </c>
      <c r="V867" s="929">
        <v>12</v>
      </c>
      <c r="W867" s="881" t="s">
        <v>2</v>
      </c>
      <c r="X867" s="1191">
        <f>70910.18962-X869</f>
        <v>69827.177620000002</v>
      </c>
      <c r="Y867" s="513"/>
      <c r="Z867" s="498"/>
      <c r="AA867" s="498"/>
      <c r="AB867" s="498"/>
      <c r="AC867" s="498"/>
      <c r="AD867" s="498"/>
      <c r="AE867" s="513"/>
      <c r="AF867" s="498"/>
      <c r="AG867" s="498"/>
      <c r="AH867" s="498"/>
      <c r="AI867" s="498"/>
      <c r="AJ867" s="498"/>
      <c r="AK867" s="498"/>
      <c r="AL867" s="498"/>
      <c r="AM867" s="498"/>
      <c r="AN867" s="498"/>
      <c r="AO867" s="498"/>
      <c r="AP867" s="623"/>
      <c r="AQ867" s="108"/>
    </row>
    <row r="868" spans="1:43" s="7" customFormat="1" ht="23.25" customHeight="1" x14ac:dyDescent="0.25">
      <c r="A868" s="1223"/>
      <c r="B868" s="1151"/>
      <c r="C868" s="1322"/>
      <c r="D868" s="1233"/>
      <c r="E868" s="1238"/>
      <c r="F868" s="1524"/>
      <c r="G868" s="514"/>
      <c r="H868" s="514"/>
      <c r="I868" s="1053"/>
      <c r="J868" s="901"/>
      <c r="K868" s="882"/>
      <c r="L868" s="911"/>
      <c r="M868" s="1218"/>
      <c r="N868" s="1218"/>
      <c r="O868" s="1157"/>
      <c r="P868" s="137"/>
      <c r="Q868" s="882" t="s">
        <v>3</v>
      </c>
      <c r="R868" s="1706"/>
      <c r="S868" s="1151"/>
      <c r="T868" s="1151"/>
      <c r="U868" s="1157"/>
      <c r="V868" s="911">
        <v>85358</v>
      </c>
      <c r="W868" s="882" t="s">
        <v>3</v>
      </c>
      <c r="X868" s="1192"/>
      <c r="Y868" s="518"/>
      <c r="Z868" s="105"/>
      <c r="AA868" s="105"/>
      <c r="AB868" s="105"/>
      <c r="AC868" s="105"/>
      <c r="AD868" s="105"/>
      <c r="AE868" s="513"/>
      <c r="AF868" s="498"/>
      <c r="AG868" s="498"/>
      <c r="AH868" s="498"/>
      <c r="AI868" s="498"/>
      <c r="AJ868" s="498"/>
      <c r="AK868" s="498"/>
      <c r="AL868" s="498"/>
      <c r="AM868" s="105"/>
      <c r="AN868" s="105"/>
      <c r="AO868" s="105"/>
      <c r="AP868" s="496"/>
      <c r="AQ868" s="108"/>
    </row>
    <row r="869" spans="1:43" s="7" customFormat="1" ht="36.75" customHeight="1" thickBot="1" x14ac:dyDescent="0.3">
      <c r="A869" s="1224"/>
      <c r="B869" s="1271"/>
      <c r="C869" s="1577"/>
      <c r="D869" s="1255"/>
      <c r="E869" s="1517"/>
      <c r="F869" s="1525"/>
      <c r="G869" s="515"/>
      <c r="H869" s="515"/>
      <c r="I869" s="1113"/>
      <c r="J869" s="176"/>
      <c r="K869" s="889"/>
      <c r="L869" s="943"/>
      <c r="M869" s="889"/>
      <c r="N869" s="889"/>
      <c r="O869" s="891"/>
      <c r="P869" s="203"/>
      <c r="Q869" s="889"/>
      <c r="R869" s="943"/>
      <c r="S869" s="1271"/>
      <c r="T869" s="1271"/>
      <c r="U869" s="891" t="s">
        <v>1219</v>
      </c>
      <c r="V869" s="943">
        <v>541</v>
      </c>
      <c r="W869" s="889" t="s">
        <v>1080</v>
      </c>
      <c r="X869" s="861">
        <v>1083.0119999999999</v>
      </c>
      <c r="Y869" s="518"/>
      <c r="Z869" s="105"/>
      <c r="AA869" s="105"/>
      <c r="AB869" s="105"/>
      <c r="AC869" s="105"/>
      <c r="AD869" s="105"/>
      <c r="AE869" s="513"/>
      <c r="AF869" s="498"/>
      <c r="AG869" s="498"/>
      <c r="AH869" s="498"/>
      <c r="AI869" s="498"/>
      <c r="AJ869" s="498"/>
      <c r="AK869" s="498"/>
      <c r="AL869" s="498"/>
      <c r="AM869" s="105"/>
      <c r="AN869" s="105"/>
      <c r="AO869" s="105"/>
      <c r="AP869" s="496"/>
      <c r="AQ869" s="108"/>
    </row>
    <row r="870" spans="1:43" s="7" customFormat="1" ht="33" customHeight="1" x14ac:dyDescent="0.25">
      <c r="A870" s="1559">
        <v>33</v>
      </c>
      <c r="B870" s="1152">
        <v>1960185</v>
      </c>
      <c r="C870" s="1257" t="s">
        <v>961</v>
      </c>
      <c r="D870" s="1368" t="s">
        <v>648</v>
      </c>
      <c r="E870" s="1262">
        <v>5.5</v>
      </c>
      <c r="F870" s="1204">
        <v>33000</v>
      </c>
      <c r="G870" s="512"/>
      <c r="H870" s="512"/>
      <c r="I870" s="981"/>
      <c r="J870" s="1076"/>
      <c r="K870" s="944"/>
      <c r="L870" s="912"/>
      <c r="M870" s="1152" t="s">
        <v>1031</v>
      </c>
      <c r="N870" s="1152" t="s">
        <v>1078</v>
      </c>
      <c r="O870" s="1226" t="s">
        <v>7</v>
      </c>
      <c r="P870" s="1078"/>
      <c r="Q870" s="944" t="s">
        <v>2</v>
      </c>
      <c r="R870" s="1707">
        <v>68201.132400000002</v>
      </c>
      <c r="S870" s="1152" t="s">
        <v>1031</v>
      </c>
      <c r="T870" s="1152" t="s">
        <v>1078</v>
      </c>
      <c r="U870" s="1226" t="s">
        <v>7</v>
      </c>
      <c r="V870" s="1078">
        <v>5.5</v>
      </c>
      <c r="W870" s="944" t="s">
        <v>2</v>
      </c>
      <c r="X870" s="1408">
        <f>1520.6724-X872-X873-X874</f>
        <v>932.56539999999995</v>
      </c>
      <c r="Y870" s="518"/>
      <c r="Z870" s="105"/>
      <c r="AA870" s="105"/>
      <c r="AB870" s="105"/>
      <c r="AC870" s="105"/>
      <c r="AD870" s="105"/>
      <c r="AE870" s="513"/>
      <c r="AF870" s="498"/>
      <c r="AG870" s="498"/>
      <c r="AH870" s="498"/>
      <c r="AI870" s="498"/>
      <c r="AJ870" s="498"/>
      <c r="AK870" s="498"/>
      <c r="AL870" s="498"/>
      <c r="AM870" s="105"/>
      <c r="AN870" s="105"/>
      <c r="AO870" s="105"/>
      <c r="AP870" s="496"/>
      <c r="AQ870" s="108"/>
    </row>
    <row r="871" spans="1:43" s="7" customFormat="1" ht="33" customHeight="1" x14ac:dyDescent="0.25">
      <c r="A871" s="1332"/>
      <c r="B871" s="1218"/>
      <c r="C871" s="1186"/>
      <c r="D871" s="1320"/>
      <c r="E871" s="1313"/>
      <c r="F871" s="1205"/>
      <c r="G871" s="514"/>
      <c r="H871" s="514"/>
      <c r="I871" s="1053"/>
      <c r="J871" s="901"/>
      <c r="K871" s="882"/>
      <c r="L871" s="911"/>
      <c r="M871" s="1218"/>
      <c r="N871" s="1218"/>
      <c r="O871" s="1157"/>
      <c r="P871" s="137"/>
      <c r="Q871" s="882" t="s">
        <v>3</v>
      </c>
      <c r="R871" s="1706"/>
      <c r="S871" s="1218"/>
      <c r="T871" s="1218"/>
      <c r="U871" s="1157"/>
      <c r="V871" s="911">
        <v>33976</v>
      </c>
      <c r="W871" s="882" t="s">
        <v>3</v>
      </c>
      <c r="X871" s="1192"/>
      <c r="Y871" s="518"/>
      <c r="Z871" s="105"/>
      <c r="AA871" s="105"/>
      <c r="AB871" s="105"/>
      <c r="AC871" s="105"/>
      <c r="AD871" s="105"/>
      <c r="AE871" s="513"/>
      <c r="AF871" s="498"/>
      <c r="AG871" s="498"/>
      <c r="AH871" s="498"/>
      <c r="AI871" s="498"/>
      <c r="AJ871" s="498"/>
      <c r="AK871" s="498"/>
      <c r="AL871" s="498"/>
      <c r="AM871" s="105"/>
      <c r="AN871" s="105"/>
      <c r="AO871" s="105"/>
      <c r="AP871" s="496"/>
      <c r="AQ871" s="108"/>
    </row>
    <row r="872" spans="1:43" s="7" customFormat="1" ht="22.15" customHeight="1" x14ac:dyDescent="0.25">
      <c r="A872" s="1332"/>
      <c r="B872" s="1218"/>
      <c r="C872" s="1186"/>
      <c r="D872" s="1320"/>
      <c r="E872" s="1313"/>
      <c r="F872" s="1205"/>
      <c r="G872" s="514"/>
      <c r="H872" s="514"/>
      <c r="I872" s="1053"/>
      <c r="J872" s="901"/>
      <c r="K872" s="882"/>
      <c r="L872" s="911"/>
      <c r="M872" s="1218"/>
      <c r="N872" s="1218"/>
      <c r="O872" s="1053" t="s">
        <v>8</v>
      </c>
      <c r="P872" s="911"/>
      <c r="Q872" s="42" t="s">
        <v>2</v>
      </c>
      <c r="R872" s="524"/>
      <c r="S872" s="1218"/>
      <c r="T872" s="1218"/>
      <c r="U872" s="1053" t="s">
        <v>8</v>
      </c>
      <c r="V872" s="911">
        <v>5.3739999999999997</v>
      </c>
      <c r="W872" s="42" t="s">
        <v>2</v>
      </c>
      <c r="X872" s="923">
        <v>54.146999999999998</v>
      </c>
      <c r="Y872" s="518"/>
      <c r="Z872" s="105"/>
      <c r="AA872" s="105"/>
      <c r="AB872" s="498"/>
      <c r="AC872" s="105"/>
      <c r="AD872" s="105"/>
      <c r="AE872" s="513"/>
      <c r="AF872" s="498"/>
      <c r="AG872" s="498"/>
      <c r="AH872" s="498"/>
      <c r="AI872" s="498"/>
      <c r="AJ872" s="498"/>
      <c r="AK872" s="498"/>
      <c r="AL872" s="498"/>
      <c r="AM872" s="105"/>
      <c r="AN872" s="105"/>
      <c r="AO872" s="105"/>
      <c r="AP872" s="496"/>
      <c r="AQ872" s="108"/>
    </row>
    <row r="873" spans="1:43" s="7" customFormat="1" ht="33" customHeight="1" x14ac:dyDescent="0.25">
      <c r="A873" s="1332"/>
      <c r="B873" s="1218"/>
      <c r="C873" s="1186"/>
      <c r="D873" s="1320"/>
      <c r="E873" s="1313"/>
      <c r="F873" s="1205"/>
      <c r="G873" s="514"/>
      <c r="H873" s="514"/>
      <c r="I873" s="1053"/>
      <c r="J873" s="901"/>
      <c r="K873" s="882"/>
      <c r="L873" s="911"/>
      <c r="M873" s="1218"/>
      <c r="N873" s="1218"/>
      <c r="O873" s="877" t="s">
        <v>32</v>
      </c>
      <c r="P873" s="911"/>
      <c r="Q873" s="42" t="s">
        <v>10</v>
      </c>
      <c r="R873" s="524"/>
      <c r="S873" s="1218"/>
      <c r="T873" s="1218"/>
      <c r="U873" s="877" t="s">
        <v>32</v>
      </c>
      <c r="V873" s="911">
        <v>39</v>
      </c>
      <c r="W873" s="42" t="s">
        <v>10</v>
      </c>
      <c r="X873" s="923">
        <v>155.72900000000001</v>
      </c>
      <c r="Y873" s="518"/>
      <c r="Z873" s="105"/>
      <c r="AA873" s="105"/>
      <c r="AB873" s="498"/>
      <c r="AC873" s="105"/>
      <c r="AD873" s="105"/>
      <c r="AE873" s="513"/>
      <c r="AF873" s="498"/>
      <c r="AG873" s="498"/>
      <c r="AH873" s="498"/>
      <c r="AI873" s="498"/>
      <c r="AJ873" s="498"/>
      <c r="AK873" s="498"/>
      <c r="AL873" s="498"/>
      <c r="AM873" s="105"/>
      <c r="AN873" s="105"/>
      <c r="AO873" s="105"/>
      <c r="AP873" s="496"/>
      <c r="AQ873" s="108"/>
    </row>
    <row r="874" spans="1:43" s="7" customFormat="1" ht="39" customHeight="1" thickBot="1" x14ac:dyDescent="0.3">
      <c r="A874" s="1332"/>
      <c r="B874" s="1218"/>
      <c r="C874" s="1186"/>
      <c r="D874" s="1320"/>
      <c r="E874" s="1313"/>
      <c r="F874" s="1205"/>
      <c r="G874" s="514"/>
      <c r="H874" s="514"/>
      <c r="I874" s="1053"/>
      <c r="J874" s="901"/>
      <c r="K874" s="882"/>
      <c r="L874" s="911"/>
      <c r="M874" s="1218"/>
      <c r="N874" s="1218"/>
      <c r="O874" s="877" t="s">
        <v>1219</v>
      </c>
      <c r="P874" s="1050"/>
      <c r="Q874" s="882" t="s">
        <v>1080</v>
      </c>
      <c r="R874" s="524"/>
      <c r="S874" s="1218"/>
      <c r="T874" s="1218"/>
      <c r="U874" s="877" t="s">
        <v>1219</v>
      </c>
      <c r="V874" s="1050">
        <v>200</v>
      </c>
      <c r="W874" s="882" t="s">
        <v>1080</v>
      </c>
      <c r="X874" s="923">
        <v>378.23099999999999</v>
      </c>
      <c r="Y874" s="518"/>
      <c r="Z874" s="105"/>
      <c r="AA874" s="105"/>
      <c r="AB874" s="498"/>
      <c r="AC874" s="105"/>
      <c r="AD874" s="105"/>
      <c r="AE874" s="513"/>
      <c r="AF874" s="498"/>
      <c r="AG874" s="498"/>
      <c r="AH874" s="498"/>
      <c r="AI874" s="498"/>
      <c r="AJ874" s="498"/>
      <c r="AK874" s="498"/>
      <c r="AL874" s="498"/>
      <c r="AM874" s="105"/>
      <c r="AN874" s="105"/>
      <c r="AO874" s="105"/>
      <c r="AP874" s="496"/>
      <c r="AQ874" s="108"/>
    </row>
    <row r="875" spans="1:43" ht="26.25" customHeight="1" x14ac:dyDescent="0.25">
      <c r="A875" s="1536">
        <v>34</v>
      </c>
      <c r="B875" s="1188">
        <v>1960065</v>
      </c>
      <c r="C875" s="1560" t="s">
        <v>1164</v>
      </c>
      <c r="D875" s="1253" t="s">
        <v>760</v>
      </c>
      <c r="E875" s="1572">
        <v>6.9349999999999996</v>
      </c>
      <c r="F875" s="1182">
        <v>40235</v>
      </c>
      <c r="G875" s="472"/>
      <c r="H875" s="472"/>
      <c r="I875" s="473"/>
      <c r="J875" s="927"/>
      <c r="K875" s="964"/>
      <c r="L875" s="927"/>
      <c r="M875" s="1188" t="s">
        <v>1031</v>
      </c>
      <c r="N875" s="1188" t="s">
        <v>1213</v>
      </c>
      <c r="O875" s="1207" t="s">
        <v>7</v>
      </c>
      <c r="P875" s="913">
        <v>6.9349999999999996</v>
      </c>
      <c r="Q875" s="964" t="s">
        <v>2</v>
      </c>
      <c r="R875" s="1678">
        <f>79394.447-R877-R878</f>
        <v>78544.764999999999</v>
      </c>
      <c r="S875" s="1188" t="s">
        <v>1031</v>
      </c>
      <c r="T875" s="1188" t="s">
        <v>1213</v>
      </c>
      <c r="U875" s="1207" t="s">
        <v>1181</v>
      </c>
      <c r="V875" s="913"/>
      <c r="W875" s="964" t="s">
        <v>2</v>
      </c>
      <c r="X875" s="1678">
        <v>2206.85473</v>
      </c>
      <c r="Y875" s="1188" t="s">
        <v>1031</v>
      </c>
      <c r="Z875" s="1188" t="s">
        <v>1213</v>
      </c>
      <c r="AA875" s="1207" t="s">
        <v>1181</v>
      </c>
      <c r="AB875" s="913"/>
      <c r="AC875" s="964" t="s">
        <v>2</v>
      </c>
      <c r="AD875" s="1702">
        <v>2350.3009999999999</v>
      </c>
      <c r="AE875" s="1188" t="s">
        <v>1031</v>
      </c>
      <c r="AF875" s="1188" t="s">
        <v>1213</v>
      </c>
      <c r="AG875" s="1207" t="s">
        <v>1181</v>
      </c>
      <c r="AH875" s="913"/>
      <c r="AI875" s="964" t="s">
        <v>2</v>
      </c>
      <c r="AJ875" s="1248">
        <v>2507.7710000000002</v>
      </c>
      <c r="AK875" s="314"/>
      <c r="AL875" s="51"/>
      <c r="AM875" s="51"/>
      <c r="AN875" s="51"/>
      <c r="AO875" s="51"/>
      <c r="AP875" s="316"/>
      <c r="AQ875" s="8"/>
    </row>
    <row r="876" spans="1:43" ht="24.75" customHeight="1" x14ac:dyDescent="0.25">
      <c r="A876" s="1351"/>
      <c r="B876" s="1189"/>
      <c r="C876" s="1561"/>
      <c r="D876" s="1254"/>
      <c r="E876" s="1573"/>
      <c r="F876" s="1183"/>
      <c r="G876" s="1085"/>
      <c r="H876" s="1085"/>
      <c r="I876" s="1101"/>
      <c r="J876" s="1035"/>
      <c r="K876" s="1032"/>
      <c r="L876" s="1035"/>
      <c r="M876" s="1189"/>
      <c r="N876" s="1189"/>
      <c r="O876" s="1157"/>
      <c r="P876" s="1035">
        <v>42960</v>
      </c>
      <c r="Q876" s="879" t="s">
        <v>3</v>
      </c>
      <c r="R876" s="1247"/>
      <c r="S876" s="1189"/>
      <c r="T876" s="1189"/>
      <c r="U876" s="1157"/>
      <c r="V876" s="1035"/>
      <c r="W876" s="876" t="s">
        <v>3</v>
      </c>
      <c r="X876" s="1247"/>
      <c r="Y876" s="1189"/>
      <c r="Z876" s="1189"/>
      <c r="AA876" s="1157"/>
      <c r="AB876" s="1035"/>
      <c r="AC876" s="876" t="s">
        <v>3</v>
      </c>
      <c r="AD876" s="1145"/>
      <c r="AE876" s="1189"/>
      <c r="AF876" s="1189"/>
      <c r="AG876" s="1157"/>
      <c r="AH876" s="1035"/>
      <c r="AI876" s="876" t="s">
        <v>3</v>
      </c>
      <c r="AJ876" s="1249"/>
      <c r="AK876" s="314"/>
      <c r="AL876" s="51"/>
      <c r="AM876" s="51"/>
      <c r="AN876" s="51"/>
      <c r="AO876" s="51"/>
      <c r="AP876" s="316"/>
      <c r="AQ876" s="8"/>
    </row>
    <row r="877" spans="1:43" ht="24.75" hidden="1" customHeight="1" x14ac:dyDescent="0.25">
      <c r="A877" s="1351"/>
      <c r="B877" s="1189"/>
      <c r="C877" s="1561"/>
      <c r="D877" s="1254"/>
      <c r="E877" s="1573"/>
      <c r="F877" s="1183"/>
      <c r="G877" s="1085"/>
      <c r="H877" s="1085"/>
      <c r="I877" s="1101"/>
      <c r="J877" s="1035"/>
      <c r="K877" s="1032"/>
      <c r="L877" s="1035"/>
      <c r="M877" s="1189"/>
      <c r="N877" s="1189"/>
      <c r="O877" s="1053" t="s">
        <v>8</v>
      </c>
      <c r="P877" s="640"/>
      <c r="Q877" s="42" t="s">
        <v>2</v>
      </c>
      <c r="R877" s="1007"/>
      <c r="S877" s="1189"/>
      <c r="T877" s="1189"/>
      <c r="U877" s="1053" t="s">
        <v>8</v>
      </c>
      <c r="V877" s="911"/>
      <c r="W877" s="42" t="s">
        <v>2</v>
      </c>
      <c r="X877" s="911">
        <v>0</v>
      </c>
      <c r="Y877" s="1189"/>
      <c r="Z877" s="1189"/>
      <c r="AA877" s="1053" t="s">
        <v>8</v>
      </c>
      <c r="AB877" s="911"/>
      <c r="AC877" s="42" t="s">
        <v>2</v>
      </c>
      <c r="AD877" s="911">
        <v>0</v>
      </c>
      <c r="AE877" s="1189"/>
      <c r="AF877" s="1189"/>
      <c r="AG877" s="1053" t="s">
        <v>8</v>
      </c>
      <c r="AH877" s="911"/>
      <c r="AI877" s="42" t="s">
        <v>2</v>
      </c>
      <c r="AJ877" s="923">
        <v>0</v>
      </c>
      <c r="AK877" s="314"/>
      <c r="AL877" s="51"/>
      <c r="AM877" s="51"/>
      <c r="AN877" s="51"/>
      <c r="AO877" s="51"/>
      <c r="AP877" s="316"/>
      <c r="AQ877" s="8"/>
    </row>
    <row r="878" spans="1:43" ht="34.5" customHeight="1" thickBot="1" x14ac:dyDescent="0.3">
      <c r="A878" s="1352"/>
      <c r="B878" s="1537"/>
      <c r="C878" s="1563"/>
      <c r="D878" s="1575"/>
      <c r="E878" s="1574"/>
      <c r="F878" s="1184"/>
      <c r="G878" s="566"/>
      <c r="H878" s="566"/>
      <c r="I878" s="567"/>
      <c r="J878" s="568"/>
      <c r="K878" s="915"/>
      <c r="L878" s="568"/>
      <c r="M878" s="1537"/>
      <c r="N878" s="1537"/>
      <c r="O878" s="891" t="s">
        <v>32</v>
      </c>
      <c r="P878" s="943">
        <v>129</v>
      </c>
      <c r="Q878" s="177" t="s">
        <v>10</v>
      </c>
      <c r="R878" s="943">
        <v>849.68200000000002</v>
      </c>
      <c r="S878" s="1211"/>
      <c r="T878" s="1211"/>
      <c r="U878" s="880" t="s">
        <v>32</v>
      </c>
      <c r="V878" s="1087"/>
      <c r="W878" s="1109" t="s">
        <v>10</v>
      </c>
      <c r="X878" s="1087">
        <v>0</v>
      </c>
      <c r="Y878" s="1211"/>
      <c r="Z878" s="1211"/>
      <c r="AA878" s="880" t="s">
        <v>32</v>
      </c>
      <c r="AB878" s="1087"/>
      <c r="AC878" s="1109" t="s">
        <v>10</v>
      </c>
      <c r="AD878" s="1087">
        <v>0</v>
      </c>
      <c r="AE878" s="1211"/>
      <c r="AF878" s="1211"/>
      <c r="AG878" s="880" t="s">
        <v>32</v>
      </c>
      <c r="AH878" s="1087"/>
      <c r="AI878" s="1109" t="s">
        <v>10</v>
      </c>
      <c r="AJ878" s="924">
        <v>0</v>
      </c>
      <c r="AK878" s="118"/>
      <c r="AL878" s="117"/>
      <c r="AM878" s="117"/>
      <c r="AN878" s="117"/>
      <c r="AO878" s="117"/>
      <c r="AP878" s="565"/>
      <c r="AQ878" s="45"/>
    </row>
    <row r="879" spans="1:43" ht="26.25" customHeight="1" x14ac:dyDescent="0.25">
      <c r="A879" s="1536">
        <v>35</v>
      </c>
      <c r="B879" s="1188">
        <v>1960209</v>
      </c>
      <c r="C879" s="1256" t="s">
        <v>111</v>
      </c>
      <c r="D879" s="1258" t="s">
        <v>133</v>
      </c>
      <c r="E879" s="1842">
        <f t="shared" ref="E879" si="10">17.74+29.1</f>
        <v>46.84</v>
      </c>
      <c r="F879" s="1692">
        <f t="shared" ref="F879" si="11">135669+194066</f>
        <v>329735</v>
      </c>
      <c r="G879" s="472"/>
      <c r="H879" s="472"/>
      <c r="I879" s="473"/>
      <c r="J879" s="927"/>
      <c r="K879" s="964"/>
      <c r="L879" s="927"/>
      <c r="M879" s="1188" t="s">
        <v>1223</v>
      </c>
      <c r="N879" s="1188" t="s">
        <v>1224</v>
      </c>
      <c r="O879" s="1207" t="s">
        <v>7</v>
      </c>
      <c r="P879" s="913">
        <v>2.35</v>
      </c>
      <c r="Q879" s="964" t="s">
        <v>2</v>
      </c>
      <c r="R879" s="1678">
        <f>38714.79847-R881-R882</f>
        <v>38556.164470000003</v>
      </c>
      <c r="S879" s="56"/>
      <c r="T879" s="56"/>
      <c r="U879" s="206"/>
      <c r="V879" s="914"/>
      <c r="W879" s="876"/>
      <c r="X879" s="653"/>
      <c r="Y879" s="56"/>
      <c r="Z879" s="56"/>
      <c r="AA879" s="206"/>
      <c r="AB879" s="914"/>
      <c r="AC879" s="876"/>
      <c r="AD879" s="653"/>
      <c r="AE879" s="56"/>
      <c r="AF879" s="56"/>
      <c r="AG879" s="206"/>
      <c r="AH879" s="914"/>
      <c r="AI879" s="876"/>
      <c r="AJ879" s="653"/>
      <c r="AK879" s="314"/>
      <c r="AL879" s="51"/>
      <c r="AM879" s="51"/>
      <c r="AN879" s="51"/>
      <c r="AO879" s="51"/>
      <c r="AP879" s="316"/>
      <c r="AQ879" s="8"/>
    </row>
    <row r="880" spans="1:43" ht="24.75" customHeight="1" x14ac:dyDescent="0.25">
      <c r="A880" s="1351"/>
      <c r="B880" s="1189"/>
      <c r="C880" s="1277"/>
      <c r="D880" s="1633"/>
      <c r="E880" s="1843"/>
      <c r="F880" s="1693"/>
      <c r="G880" s="1085"/>
      <c r="H880" s="1085"/>
      <c r="I880" s="1101"/>
      <c r="J880" s="1035"/>
      <c r="K880" s="1032"/>
      <c r="L880" s="1035"/>
      <c r="M880" s="1189"/>
      <c r="N880" s="1189"/>
      <c r="O880" s="1157"/>
      <c r="P880" s="1035">
        <v>14100</v>
      </c>
      <c r="Q880" s="879" t="s">
        <v>3</v>
      </c>
      <c r="R880" s="1247"/>
      <c r="S880" s="56"/>
      <c r="T880" s="56"/>
      <c r="U880" s="206"/>
      <c r="V880" s="928"/>
      <c r="W880" s="876"/>
      <c r="X880" s="653"/>
      <c r="Y880" s="56"/>
      <c r="Z880" s="56"/>
      <c r="AA880" s="206"/>
      <c r="AB880" s="928"/>
      <c r="AC880" s="876"/>
      <c r="AD880" s="653"/>
      <c r="AE880" s="56"/>
      <c r="AF880" s="56"/>
      <c r="AG880" s="206"/>
      <c r="AH880" s="928"/>
      <c r="AI880" s="876"/>
      <c r="AJ880" s="653"/>
      <c r="AK880" s="314"/>
      <c r="AL880" s="51"/>
      <c r="AM880" s="51"/>
      <c r="AN880" s="51"/>
      <c r="AO880" s="51"/>
      <c r="AP880" s="316"/>
      <c r="AQ880" s="8"/>
    </row>
    <row r="881" spans="1:43" ht="24.75" customHeight="1" x14ac:dyDescent="0.25">
      <c r="A881" s="1351"/>
      <c r="B881" s="1189"/>
      <c r="C881" s="1277"/>
      <c r="D881" s="1633"/>
      <c r="E881" s="1843"/>
      <c r="F881" s="1693"/>
      <c r="G881" s="1085"/>
      <c r="H881" s="1085"/>
      <c r="I881" s="1101"/>
      <c r="J881" s="1035"/>
      <c r="K881" s="1032"/>
      <c r="L881" s="1035"/>
      <c r="M881" s="1189"/>
      <c r="N881" s="1189"/>
      <c r="O881" s="1053" t="s">
        <v>8</v>
      </c>
      <c r="P881" s="930">
        <v>2.9969999999999999</v>
      </c>
      <c r="Q881" s="42" t="s">
        <v>2</v>
      </c>
      <c r="R881" s="911">
        <v>35.603999999999999</v>
      </c>
      <c r="S881" s="56"/>
      <c r="T881" s="56"/>
      <c r="U881" s="1053"/>
      <c r="V881" s="911"/>
      <c r="W881" s="42"/>
      <c r="X881" s="911"/>
      <c r="Y881" s="56"/>
      <c r="Z881" s="56"/>
      <c r="AA881" s="1053"/>
      <c r="AB881" s="911"/>
      <c r="AC881" s="42"/>
      <c r="AD881" s="911"/>
      <c r="AE881" s="56"/>
      <c r="AF881" s="56"/>
      <c r="AG881" s="1053"/>
      <c r="AH881" s="911"/>
      <c r="AI881" s="42"/>
      <c r="AJ881" s="911"/>
      <c r="AK881" s="314"/>
      <c r="AL881" s="51"/>
      <c r="AM881" s="51"/>
      <c r="AN881" s="51"/>
      <c r="AO881" s="51"/>
      <c r="AP881" s="316"/>
      <c r="AQ881" s="8"/>
    </row>
    <row r="882" spans="1:43" ht="38.25" customHeight="1" thickBot="1" x14ac:dyDescent="0.3">
      <c r="A882" s="1352"/>
      <c r="B882" s="1537"/>
      <c r="C882" s="1278"/>
      <c r="D882" s="1634"/>
      <c r="E882" s="1844"/>
      <c r="F882" s="1694"/>
      <c r="G882" s="566"/>
      <c r="H882" s="566"/>
      <c r="I882" s="567"/>
      <c r="J882" s="568"/>
      <c r="K882" s="915"/>
      <c r="L882" s="568"/>
      <c r="M882" s="1537"/>
      <c r="N882" s="1537"/>
      <c r="O882" s="891" t="s">
        <v>32</v>
      </c>
      <c r="P882" s="943">
        <v>31</v>
      </c>
      <c r="Q882" s="177" t="s">
        <v>10</v>
      </c>
      <c r="R882" s="943">
        <v>123.03</v>
      </c>
      <c r="S882" s="56"/>
      <c r="T882" s="56"/>
      <c r="U882" s="1053"/>
      <c r="V882" s="911"/>
      <c r="W882" s="42"/>
      <c r="X882" s="911"/>
      <c r="Y882" s="56"/>
      <c r="Z882" s="56"/>
      <c r="AA882" s="1053"/>
      <c r="AB882" s="911"/>
      <c r="AC882" s="42"/>
      <c r="AD882" s="911"/>
      <c r="AE882" s="56"/>
      <c r="AF882" s="56"/>
      <c r="AG882" s="1053"/>
      <c r="AH882" s="911"/>
      <c r="AI882" s="42"/>
      <c r="AJ882" s="911"/>
      <c r="AK882" s="118"/>
      <c r="AL882" s="117"/>
      <c r="AM882" s="117"/>
      <c r="AN882" s="117"/>
      <c r="AO882" s="117"/>
      <c r="AP882" s="565"/>
      <c r="AQ882" s="45"/>
    </row>
    <row r="883" spans="1:43" ht="26.25" customHeight="1" x14ac:dyDescent="0.25">
      <c r="A883" s="1536">
        <v>36</v>
      </c>
      <c r="B883" s="1188">
        <v>1960218</v>
      </c>
      <c r="C883" s="1560" t="s">
        <v>1228</v>
      </c>
      <c r="D883" s="1253" t="s">
        <v>1227</v>
      </c>
      <c r="E883" s="1572">
        <v>7.8250000000000002</v>
      </c>
      <c r="F883" s="1182">
        <v>46542</v>
      </c>
      <c r="G883" s="472"/>
      <c r="H883" s="472"/>
      <c r="I883" s="473"/>
      <c r="J883" s="927"/>
      <c r="K883" s="964"/>
      <c r="L883" s="927"/>
      <c r="M883" s="1188" t="s">
        <v>1225</v>
      </c>
      <c r="N883" s="1188" t="s">
        <v>1226</v>
      </c>
      <c r="O883" s="1207" t="s">
        <v>7</v>
      </c>
      <c r="P883" s="913">
        <v>2.625</v>
      </c>
      <c r="Q883" s="964" t="s">
        <v>2</v>
      </c>
      <c r="R883" s="1678">
        <f>32320.4688-R885-R886</f>
        <v>31982.3698</v>
      </c>
      <c r="S883" s="56"/>
      <c r="T883" s="56"/>
      <c r="U883" s="206"/>
      <c r="V883" s="914"/>
      <c r="W883" s="876"/>
      <c r="X883" s="653"/>
      <c r="Y883" s="56"/>
      <c r="Z883" s="56"/>
      <c r="AA883" s="206"/>
      <c r="AB883" s="914"/>
      <c r="AC883" s="876"/>
      <c r="AD883" s="653"/>
      <c r="AE883" s="56"/>
      <c r="AF883" s="56"/>
      <c r="AG883" s="206"/>
      <c r="AH883" s="914"/>
      <c r="AI883" s="876"/>
      <c r="AJ883" s="653"/>
      <c r="AK883" s="314"/>
      <c r="AL883" s="51"/>
      <c r="AM883" s="51"/>
      <c r="AN883" s="51"/>
      <c r="AO883" s="51"/>
      <c r="AP883" s="316"/>
      <c r="AQ883" s="8"/>
    </row>
    <row r="884" spans="1:43" ht="24.75" customHeight="1" x14ac:dyDescent="0.25">
      <c r="A884" s="1351"/>
      <c r="B884" s="1189"/>
      <c r="C884" s="1561"/>
      <c r="D884" s="1254"/>
      <c r="E884" s="1573"/>
      <c r="F884" s="1183"/>
      <c r="G884" s="1085"/>
      <c r="H884" s="1085"/>
      <c r="I884" s="1101"/>
      <c r="J884" s="1035"/>
      <c r="K884" s="1032"/>
      <c r="L884" s="1035"/>
      <c r="M884" s="1189"/>
      <c r="N884" s="1189"/>
      <c r="O884" s="1157"/>
      <c r="P884" s="1035">
        <v>16350</v>
      </c>
      <c r="Q884" s="879" t="s">
        <v>3</v>
      </c>
      <c r="R884" s="1247"/>
      <c r="S884" s="56"/>
      <c r="T884" s="56"/>
      <c r="U884" s="206"/>
      <c r="V884" s="928"/>
      <c r="W884" s="876"/>
      <c r="X884" s="653"/>
      <c r="Y884" s="56"/>
      <c r="Z884" s="56"/>
      <c r="AA884" s="206"/>
      <c r="AB884" s="928"/>
      <c r="AC884" s="876"/>
      <c r="AD884" s="653"/>
      <c r="AE884" s="56"/>
      <c r="AF884" s="56"/>
      <c r="AG884" s="206"/>
      <c r="AH884" s="928"/>
      <c r="AI884" s="876"/>
      <c r="AJ884" s="653"/>
      <c r="AK884" s="314"/>
      <c r="AL884" s="51"/>
      <c r="AM884" s="51"/>
      <c r="AN884" s="51"/>
      <c r="AO884" s="51"/>
      <c r="AP884" s="316"/>
      <c r="AQ884" s="8"/>
    </row>
    <row r="885" spans="1:43" ht="24.75" customHeight="1" x14ac:dyDescent="0.25">
      <c r="A885" s="1351"/>
      <c r="B885" s="1189"/>
      <c r="C885" s="1561"/>
      <c r="D885" s="1254"/>
      <c r="E885" s="1573"/>
      <c r="F885" s="1183"/>
      <c r="G885" s="1085"/>
      <c r="H885" s="1085"/>
      <c r="I885" s="1101"/>
      <c r="J885" s="1035"/>
      <c r="K885" s="1032"/>
      <c r="L885" s="1035"/>
      <c r="M885" s="1189"/>
      <c r="N885" s="1189"/>
      <c r="O885" s="1053" t="s">
        <v>8</v>
      </c>
      <c r="P885" s="911">
        <v>5.1050000000000004</v>
      </c>
      <c r="Q885" s="42" t="s">
        <v>2</v>
      </c>
      <c r="R885" s="911">
        <v>67.799000000000007</v>
      </c>
      <c r="S885" s="56"/>
      <c r="T885" s="56"/>
      <c r="U885" s="1053"/>
      <c r="V885" s="911"/>
      <c r="W885" s="42"/>
      <c r="X885" s="911"/>
      <c r="Y885" s="56"/>
      <c r="Z885" s="56"/>
      <c r="AA885" s="1053"/>
      <c r="AB885" s="911"/>
      <c r="AC885" s="42"/>
      <c r="AD885" s="911"/>
      <c r="AE885" s="56"/>
      <c r="AF885" s="56"/>
      <c r="AG885" s="1053"/>
      <c r="AH885" s="911"/>
      <c r="AI885" s="42"/>
      <c r="AJ885" s="911"/>
      <c r="AK885" s="314"/>
      <c r="AL885" s="51"/>
      <c r="AM885" s="51"/>
      <c r="AN885" s="51"/>
      <c r="AO885" s="51"/>
      <c r="AP885" s="316"/>
      <c r="AQ885" s="8"/>
    </row>
    <row r="886" spans="1:43" ht="37.5" customHeight="1" thickBot="1" x14ac:dyDescent="0.3">
      <c r="A886" s="1352"/>
      <c r="B886" s="1211"/>
      <c r="C886" s="1562"/>
      <c r="D886" s="1500"/>
      <c r="E886" s="1697"/>
      <c r="F886" s="1689"/>
      <c r="G886" s="580"/>
      <c r="H886" s="580"/>
      <c r="I886" s="581"/>
      <c r="J886" s="582"/>
      <c r="K886" s="980"/>
      <c r="L886" s="582"/>
      <c r="M886" s="1211"/>
      <c r="N886" s="1211"/>
      <c r="O886" s="880" t="s">
        <v>32</v>
      </c>
      <c r="P886" s="1087">
        <v>39</v>
      </c>
      <c r="Q886" s="1109" t="s">
        <v>10</v>
      </c>
      <c r="R886" s="1087">
        <v>270.3</v>
      </c>
      <c r="S886" s="1089"/>
      <c r="T886" s="1089"/>
      <c r="U886" s="976"/>
      <c r="V886" s="1087"/>
      <c r="W886" s="1109"/>
      <c r="X886" s="1087"/>
      <c r="Y886" s="1089"/>
      <c r="Z886" s="1089"/>
      <c r="AA886" s="976"/>
      <c r="AB886" s="1087"/>
      <c r="AC886" s="1109"/>
      <c r="AD886" s="1087"/>
      <c r="AE886" s="1089"/>
      <c r="AF886" s="1089"/>
      <c r="AG886" s="976"/>
      <c r="AH886" s="1087"/>
      <c r="AI886" s="1109"/>
      <c r="AJ886" s="1087"/>
      <c r="AK886" s="118"/>
      <c r="AL886" s="117"/>
      <c r="AM886" s="117"/>
      <c r="AN886" s="117"/>
      <c r="AO886" s="117"/>
      <c r="AP886" s="565"/>
      <c r="AQ886" s="45"/>
    </row>
    <row r="887" spans="1:43" ht="34.15" customHeight="1" x14ac:dyDescent="0.25">
      <c r="A887" s="1549">
        <v>37</v>
      </c>
      <c r="B887" s="1536">
        <v>1959936</v>
      </c>
      <c r="C887" s="1256" t="s">
        <v>896</v>
      </c>
      <c r="D887" s="1258" t="s">
        <v>164</v>
      </c>
      <c r="E887" s="1570">
        <v>10.26</v>
      </c>
      <c r="F887" s="1584">
        <v>77018</v>
      </c>
      <c r="G887" s="472"/>
      <c r="H887" s="472"/>
      <c r="I887" s="473"/>
      <c r="J887" s="927"/>
      <c r="K887" s="964"/>
      <c r="L887" s="927"/>
      <c r="M887" s="1188" t="s">
        <v>1031</v>
      </c>
      <c r="N887" s="1188" t="s">
        <v>1229</v>
      </c>
      <c r="O887" s="1207" t="s">
        <v>7</v>
      </c>
      <c r="P887" s="913"/>
      <c r="Q887" s="964" t="s">
        <v>2</v>
      </c>
      <c r="R887" s="1678">
        <v>25900</v>
      </c>
      <c r="S887" s="1188" t="s">
        <v>1031</v>
      </c>
      <c r="T887" s="1188" t="s">
        <v>1229</v>
      </c>
      <c r="U887" s="1207" t="s">
        <v>7</v>
      </c>
      <c r="V887" s="913">
        <v>5.7130000000000001</v>
      </c>
      <c r="W887" s="964" t="s">
        <v>2</v>
      </c>
      <c r="X887" s="1678">
        <f>41708.67737+769.76829-X889-X890</f>
        <v>41722.800660000001</v>
      </c>
      <c r="Y887" s="1188" t="s">
        <v>1031</v>
      </c>
      <c r="Z887" s="1188" t="s">
        <v>1229</v>
      </c>
      <c r="AA887" s="1207" t="s">
        <v>1181</v>
      </c>
      <c r="AB887" s="913"/>
      <c r="AC887" s="964" t="s">
        <v>2</v>
      </c>
      <c r="AD887" s="1702">
        <v>1639.6056100000001</v>
      </c>
      <c r="AE887" s="1188" t="s">
        <v>1031</v>
      </c>
      <c r="AF887" s="1188" t="s">
        <v>1229</v>
      </c>
      <c r="AG887" s="1207" t="s">
        <v>1181</v>
      </c>
      <c r="AH887" s="913"/>
      <c r="AI887" s="964" t="s">
        <v>2</v>
      </c>
      <c r="AJ887" s="1248">
        <v>1749.4595099999999</v>
      </c>
      <c r="AK887" s="1188" t="s">
        <v>1031</v>
      </c>
      <c r="AL887" s="1188" t="s">
        <v>1229</v>
      </c>
      <c r="AM887" s="1207" t="s">
        <v>1181</v>
      </c>
      <c r="AN887" s="913"/>
      <c r="AO887" s="964" t="s">
        <v>2</v>
      </c>
      <c r="AP887" s="1248">
        <v>1868.4223199999999</v>
      </c>
      <c r="AQ887" s="1250" t="s">
        <v>1230</v>
      </c>
    </row>
    <row r="888" spans="1:43" ht="34.15" customHeight="1" x14ac:dyDescent="0.25">
      <c r="A888" s="1550"/>
      <c r="B888" s="1351"/>
      <c r="C888" s="1277"/>
      <c r="D888" s="1633"/>
      <c r="E888" s="1582"/>
      <c r="F888" s="1695"/>
      <c r="G888" s="1085"/>
      <c r="H888" s="1085"/>
      <c r="I888" s="1101"/>
      <c r="J888" s="1035"/>
      <c r="K888" s="1032"/>
      <c r="L888" s="1035"/>
      <c r="M888" s="1211"/>
      <c r="N888" s="1211"/>
      <c r="O888" s="1157"/>
      <c r="P888" s="1035"/>
      <c r="Q888" s="879" t="s">
        <v>3</v>
      </c>
      <c r="R888" s="1247"/>
      <c r="S888" s="1211"/>
      <c r="T888" s="1211"/>
      <c r="U888" s="1157"/>
      <c r="V888" s="1035">
        <v>36387</v>
      </c>
      <c r="W888" s="876" t="s">
        <v>3</v>
      </c>
      <c r="X888" s="1247"/>
      <c r="Y888" s="1211"/>
      <c r="Z888" s="1211"/>
      <c r="AA888" s="1157"/>
      <c r="AB888" s="1035"/>
      <c r="AC888" s="876" t="s">
        <v>3</v>
      </c>
      <c r="AD888" s="1145"/>
      <c r="AE888" s="1211"/>
      <c r="AF888" s="1211"/>
      <c r="AG888" s="1157"/>
      <c r="AH888" s="1035"/>
      <c r="AI888" s="876" t="s">
        <v>3</v>
      </c>
      <c r="AJ888" s="1249"/>
      <c r="AK888" s="1211"/>
      <c r="AL888" s="1211"/>
      <c r="AM888" s="1157"/>
      <c r="AN888" s="1035"/>
      <c r="AO888" s="876" t="s">
        <v>3</v>
      </c>
      <c r="AP888" s="1249"/>
      <c r="AQ888" s="1251"/>
    </row>
    <row r="889" spans="1:43" ht="34.15" customHeight="1" x14ac:dyDescent="0.25">
      <c r="A889" s="1550"/>
      <c r="B889" s="1351"/>
      <c r="C889" s="1277"/>
      <c r="D889" s="1633"/>
      <c r="E889" s="1582"/>
      <c r="F889" s="1695"/>
      <c r="G889" s="1085"/>
      <c r="H889" s="1085"/>
      <c r="I889" s="1101"/>
      <c r="J889" s="1035"/>
      <c r="K889" s="1032"/>
      <c r="L889" s="1035"/>
      <c r="M889" s="1211"/>
      <c r="N889" s="1211"/>
      <c r="O889" s="1053" t="s">
        <v>8</v>
      </c>
      <c r="P889" s="911"/>
      <c r="Q889" s="42" t="s">
        <v>2</v>
      </c>
      <c r="R889" s="524"/>
      <c r="S889" s="1211"/>
      <c r="T889" s="1211"/>
      <c r="U889" s="1053" t="s">
        <v>8</v>
      </c>
      <c r="V889" s="911">
        <v>5.7919999999999998</v>
      </c>
      <c r="W889" s="42" t="s">
        <v>2</v>
      </c>
      <c r="X889" s="911">
        <v>86.551000000000002</v>
      </c>
      <c r="Y889" s="1211"/>
      <c r="Z889" s="1211"/>
      <c r="AA889" s="877" t="s">
        <v>8</v>
      </c>
      <c r="AB889" s="911"/>
      <c r="AC889" s="42" t="s">
        <v>2</v>
      </c>
      <c r="AD889" s="911">
        <v>0</v>
      </c>
      <c r="AE889" s="1211"/>
      <c r="AF889" s="1211"/>
      <c r="AG889" s="1053" t="s">
        <v>8</v>
      </c>
      <c r="AH889" s="911"/>
      <c r="AI889" s="42" t="s">
        <v>2</v>
      </c>
      <c r="AJ889" s="923">
        <v>0</v>
      </c>
      <c r="AK889" s="1211"/>
      <c r="AL889" s="1211"/>
      <c r="AM889" s="1053" t="s">
        <v>8</v>
      </c>
      <c r="AN889" s="911"/>
      <c r="AO889" s="42" t="s">
        <v>2</v>
      </c>
      <c r="AP889" s="923">
        <v>0</v>
      </c>
      <c r="AQ889" s="1251"/>
    </row>
    <row r="890" spans="1:43" ht="34.15" customHeight="1" thickBot="1" x14ac:dyDescent="0.3">
      <c r="A890" s="1551"/>
      <c r="B890" s="1352"/>
      <c r="C890" s="1278"/>
      <c r="D890" s="1634"/>
      <c r="E890" s="1583"/>
      <c r="F890" s="1696"/>
      <c r="G890" s="583"/>
      <c r="H890" s="583"/>
      <c r="I890" s="584"/>
      <c r="J890" s="585"/>
      <c r="K890" s="1023"/>
      <c r="L890" s="585"/>
      <c r="M890" s="1212"/>
      <c r="N890" s="1212"/>
      <c r="O890" s="891" t="s">
        <v>32</v>
      </c>
      <c r="P890" s="943"/>
      <c r="Q890" s="177" t="s">
        <v>10</v>
      </c>
      <c r="R890" s="537"/>
      <c r="S890" s="1212"/>
      <c r="T890" s="1212"/>
      <c r="U890" s="880" t="s">
        <v>32</v>
      </c>
      <c r="V890" s="943">
        <v>107</v>
      </c>
      <c r="W890" s="177" t="s">
        <v>10</v>
      </c>
      <c r="X890" s="943">
        <v>669.09400000000005</v>
      </c>
      <c r="Y890" s="1189"/>
      <c r="Z890" s="1189"/>
      <c r="AA890" s="880" t="s">
        <v>32</v>
      </c>
      <c r="AB890" s="1087"/>
      <c r="AC890" s="1109" t="s">
        <v>10</v>
      </c>
      <c r="AD890" s="1087">
        <v>0</v>
      </c>
      <c r="AE890" s="1189"/>
      <c r="AF890" s="1189"/>
      <c r="AG890" s="880" t="s">
        <v>32</v>
      </c>
      <c r="AH890" s="1087"/>
      <c r="AI890" s="1109" t="s">
        <v>10</v>
      </c>
      <c r="AJ890" s="924">
        <v>0</v>
      </c>
      <c r="AK890" s="1212"/>
      <c r="AL890" s="1212"/>
      <c r="AM890" s="880" t="s">
        <v>32</v>
      </c>
      <c r="AN890" s="943"/>
      <c r="AO890" s="177" t="s">
        <v>10</v>
      </c>
      <c r="AP890" s="861">
        <v>0</v>
      </c>
      <c r="AQ890" s="1252"/>
    </row>
    <row r="891" spans="1:43" ht="26.25" customHeight="1" x14ac:dyDescent="0.25">
      <c r="A891" s="1536">
        <v>38</v>
      </c>
      <c r="B891" s="1188">
        <v>1960292</v>
      </c>
      <c r="C891" s="1568" t="s">
        <v>73</v>
      </c>
      <c r="D891" s="1258" t="s">
        <v>455</v>
      </c>
      <c r="E891" s="1570">
        <v>15.94</v>
      </c>
      <c r="F891" s="1584">
        <v>169567</v>
      </c>
      <c r="G891" s="472"/>
      <c r="H891" s="472"/>
      <c r="I891" s="473"/>
      <c r="J891" s="927"/>
      <c r="K891" s="964"/>
      <c r="L891" s="927"/>
      <c r="M891" s="1188" t="s">
        <v>1249</v>
      </c>
      <c r="N891" s="1188" t="s">
        <v>1232</v>
      </c>
      <c r="O891" s="1207" t="s">
        <v>7</v>
      </c>
      <c r="P891" s="913"/>
      <c r="Q891" s="964" t="s">
        <v>2</v>
      </c>
      <c r="R891" s="1678">
        <f>6487.49997+10500</f>
        <v>16987.499970000001</v>
      </c>
      <c r="S891" s="1188" t="s">
        <v>1249</v>
      </c>
      <c r="T891" s="1188" t="s">
        <v>1232</v>
      </c>
      <c r="U891" s="1207" t="s">
        <v>7</v>
      </c>
      <c r="V891" s="913">
        <f>15.94-14.04</f>
        <v>1.9000000000000004</v>
      </c>
      <c r="W891" s="964" t="s">
        <v>2</v>
      </c>
      <c r="X891" s="1678">
        <v>12978.4728</v>
      </c>
      <c r="Y891" s="56"/>
      <c r="Z891" s="56"/>
      <c r="AA891" s="206"/>
      <c r="AB891" s="914"/>
      <c r="AC891" s="876"/>
      <c r="AD891" s="653"/>
      <c r="AE891" s="56"/>
      <c r="AF891" s="56"/>
      <c r="AG891" s="206"/>
      <c r="AH891" s="914"/>
      <c r="AI891" s="876"/>
      <c r="AJ891" s="653"/>
      <c r="AK891" s="314"/>
      <c r="AL891" s="51"/>
      <c r="AM891" s="51"/>
      <c r="AN891" s="51"/>
      <c r="AO891" s="51"/>
      <c r="AP891" s="316"/>
      <c r="AQ891" s="8"/>
    </row>
    <row r="892" spans="1:43" ht="24.75" customHeight="1" thickBot="1" x14ac:dyDescent="0.3">
      <c r="A892" s="1351"/>
      <c r="B892" s="1189"/>
      <c r="C892" s="1569"/>
      <c r="D892" s="1259"/>
      <c r="E892" s="1571"/>
      <c r="F892" s="1690"/>
      <c r="G892" s="1085"/>
      <c r="H892" s="1085"/>
      <c r="I892" s="1101"/>
      <c r="J892" s="1035"/>
      <c r="K892" s="1032"/>
      <c r="L892" s="1035"/>
      <c r="M892" s="1189"/>
      <c r="N892" s="1189"/>
      <c r="O892" s="1157"/>
      <c r="P892" s="1035"/>
      <c r="Q892" s="879" t="s">
        <v>3</v>
      </c>
      <c r="R892" s="1247"/>
      <c r="S892" s="1189"/>
      <c r="T892" s="1189"/>
      <c r="U892" s="1157"/>
      <c r="V892" s="1035">
        <v>12093</v>
      </c>
      <c r="W892" s="876" t="s">
        <v>3</v>
      </c>
      <c r="X892" s="1247"/>
      <c r="Y892" s="56"/>
      <c r="Z892" s="56"/>
      <c r="AA892" s="206"/>
      <c r="AB892" s="928"/>
      <c r="AC892" s="876"/>
      <c r="AD892" s="653"/>
      <c r="AE892" s="56"/>
      <c r="AF892" s="56"/>
      <c r="AG892" s="206"/>
      <c r="AH892" s="928"/>
      <c r="AI892" s="876"/>
      <c r="AJ892" s="653"/>
      <c r="AK892" s="314"/>
      <c r="AL892" s="51"/>
      <c r="AM892" s="51"/>
      <c r="AN892" s="51"/>
      <c r="AO892" s="51"/>
      <c r="AP892" s="316"/>
      <c r="AQ892" s="8"/>
    </row>
    <row r="893" spans="1:43" ht="26.25" customHeight="1" x14ac:dyDescent="0.25">
      <c r="A893" s="1536">
        <v>39</v>
      </c>
      <c r="B893" s="1188">
        <v>1960293</v>
      </c>
      <c r="C893" s="1256" t="s">
        <v>76</v>
      </c>
      <c r="D893" s="1258" t="s">
        <v>466</v>
      </c>
      <c r="E893" s="1606">
        <v>6.44</v>
      </c>
      <c r="F893" s="1547">
        <v>75378</v>
      </c>
      <c r="G893" s="472"/>
      <c r="H893" s="472"/>
      <c r="I893" s="473"/>
      <c r="J893" s="927"/>
      <c r="K893" s="964"/>
      <c r="L893" s="927"/>
      <c r="M893" s="1188" t="s">
        <v>1031</v>
      </c>
      <c r="N893" s="1188" t="s">
        <v>1233</v>
      </c>
      <c r="O893" s="1207" t="s">
        <v>7</v>
      </c>
      <c r="P893" s="913"/>
      <c r="Q893" s="964" t="s">
        <v>2</v>
      </c>
      <c r="R893" s="1678">
        <f>19989.65331+32429.78949</f>
        <v>52419.442800000004</v>
      </c>
      <c r="S893" s="1188" t="s">
        <v>1031</v>
      </c>
      <c r="T893" s="1188" t="s">
        <v>1233</v>
      </c>
      <c r="U893" s="1207" t="s">
        <v>7</v>
      </c>
      <c r="V893" s="913">
        <v>6.3079999999999998</v>
      </c>
      <c r="W893" s="964" t="s">
        <v>2</v>
      </c>
      <c r="X893" s="1678">
        <v>43733.503559999997</v>
      </c>
      <c r="Y893" s="56"/>
      <c r="Z893" s="56"/>
      <c r="AA893" s="206"/>
      <c r="AB893" s="914"/>
      <c r="AC893" s="876"/>
      <c r="AD893" s="653"/>
      <c r="AE893" s="56"/>
      <c r="AF893" s="56"/>
      <c r="AG893" s="206"/>
      <c r="AH893" s="914"/>
      <c r="AI893" s="876"/>
      <c r="AJ893" s="653"/>
      <c r="AK893" s="314"/>
      <c r="AL893" s="51"/>
      <c r="AM893" s="51"/>
      <c r="AN893" s="51"/>
      <c r="AO893" s="51"/>
      <c r="AP893" s="316"/>
      <c r="AQ893" s="8"/>
    </row>
    <row r="894" spans="1:43" ht="24.75" customHeight="1" thickBot="1" x14ac:dyDescent="0.3">
      <c r="A894" s="1351"/>
      <c r="B894" s="1189"/>
      <c r="C894" s="1243"/>
      <c r="D894" s="1259"/>
      <c r="E894" s="1607"/>
      <c r="F894" s="1611"/>
      <c r="G894" s="1085"/>
      <c r="H894" s="1085"/>
      <c r="I894" s="1101"/>
      <c r="J894" s="1035"/>
      <c r="K894" s="1032"/>
      <c r="L894" s="1035"/>
      <c r="M894" s="1189"/>
      <c r="N894" s="1189"/>
      <c r="O894" s="1157"/>
      <c r="P894" s="1035"/>
      <c r="Q894" s="879" t="s">
        <v>3</v>
      </c>
      <c r="R894" s="1247"/>
      <c r="S894" s="1189"/>
      <c r="T894" s="1189"/>
      <c r="U894" s="1157"/>
      <c r="V894" s="1035">
        <v>39228.6</v>
      </c>
      <c r="W894" s="876" t="s">
        <v>3</v>
      </c>
      <c r="X894" s="1247"/>
      <c r="Y894" s="56"/>
      <c r="Z894" s="56"/>
      <c r="AA894" s="206"/>
      <c r="AB894" s="928"/>
      <c r="AC894" s="876"/>
      <c r="AD894" s="653"/>
      <c r="AE894" s="56"/>
      <c r="AF894" s="56"/>
      <c r="AG894" s="206"/>
      <c r="AH894" s="928"/>
      <c r="AI894" s="876"/>
      <c r="AJ894" s="653"/>
      <c r="AK894" s="314"/>
      <c r="AL894" s="51"/>
      <c r="AM894" s="51"/>
      <c r="AN894" s="51"/>
      <c r="AO894" s="51"/>
      <c r="AP894" s="316"/>
      <c r="AQ894" s="8"/>
    </row>
    <row r="895" spans="1:43" ht="26.25" customHeight="1" x14ac:dyDescent="0.25">
      <c r="A895" s="1536">
        <v>40</v>
      </c>
      <c r="B895" s="1188">
        <v>1960089</v>
      </c>
      <c r="C895" s="1256" t="s">
        <v>923</v>
      </c>
      <c r="D895" s="1258" t="s">
        <v>467</v>
      </c>
      <c r="E895" s="1606">
        <v>6.5</v>
      </c>
      <c r="F895" s="1547">
        <v>48308</v>
      </c>
      <c r="G895" s="472"/>
      <c r="H895" s="472"/>
      <c r="I895" s="473"/>
      <c r="J895" s="927"/>
      <c r="K895" s="964"/>
      <c r="L895" s="927"/>
      <c r="M895" s="1188" t="s">
        <v>1031</v>
      </c>
      <c r="N895" s="1188" t="s">
        <v>1234</v>
      </c>
      <c r="O895" s="1207" t="s">
        <v>7</v>
      </c>
      <c r="P895" s="913"/>
      <c r="Q895" s="964" t="s">
        <v>2</v>
      </c>
      <c r="R895" s="1678">
        <v>5040</v>
      </c>
      <c r="S895" s="1188" t="s">
        <v>1031</v>
      </c>
      <c r="T895" s="1188" t="s">
        <v>1234</v>
      </c>
      <c r="U895" s="1207" t="s">
        <v>7</v>
      </c>
      <c r="V895" s="913">
        <v>2.2599999999999998</v>
      </c>
      <c r="W895" s="964" t="s">
        <v>2</v>
      </c>
      <c r="X895" s="1678">
        <v>28157.688719999998</v>
      </c>
      <c r="Y895" s="56"/>
      <c r="Z895" s="56"/>
      <c r="AA895" s="206"/>
      <c r="AB895" s="914"/>
      <c r="AC895" s="876"/>
      <c r="AD895" s="653"/>
      <c r="AE895" s="56"/>
      <c r="AF895" s="56"/>
      <c r="AG895" s="206"/>
      <c r="AH895" s="914"/>
      <c r="AI895" s="876"/>
      <c r="AJ895" s="653"/>
      <c r="AK895" s="314"/>
      <c r="AL895" s="51"/>
      <c r="AM895" s="51"/>
      <c r="AN895" s="51"/>
      <c r="AO895" s="51"/>
      <c r="AP895" s="316"/>
      <c r="AQ895" s="8"/>
    </row>
    <row r="896" spans="1:43" ht="24.75" customHeight="1" x14ac:dyDescent="0.25">
      <c r="A896" s="1351"/>
      <c r="B896" s="1147"/>
      <c r="C896" s="1322"/>
      <c r="D896" s="1788"/>
      <c r="E896" s="1610"/>
      <c r="F896" s="1548"/>
      <c r="G896" s="688"/>
      <c r="H896" s="688"/>
      <c r="I896" s="689"/>
      <c r="J896" s="1025"/>
      <c r="K896" s="918"/>
      <c r="L896" s="1025"/>
      <c r="M896" s="1147"/>
      <c r="N896" s="1147"/>
      <c r="O896" s="1691"/>
      <c r="P896" s="1025"/>
      <c r="Q896" s="879" t="s">
        <v>3</v>
      </c>
      <c r="R896" s="1631"/>
      <c r="S896" s="1147"/>
      <c r="T896" s="1147"/>
      <c r="U896" s="1691"/>
      <c r="V896" s="1025">
        <v>14056</v>
      </c>
      <c r="W896" s="879" t="s">
        <v>3</v>
      </c>
      <c r="X896" s="1631"/>
      <c r="Y896" s="1089"/>
      <c r="Z896" s="1089"/>
      <c r="AA896" s="263"/>
      <c r="AB896" s="975"/>
      <c r="AC896" s="879"/>
      <c r="AD896" s="2044"/>
      <c r="AE896" s="1089"/>
      <c r="AF896" s="1089"/>
      <c r="AG896" s="263"/>
      <c r="AH896" s="975"/>
      <c r="AI896" s="879"/>
      <c r="AJ896" s="2044"/>
      <c r="AK896" s="118"/>
      <c r="AL896" s="117"/>
      <c r="AM896" s="117"/>
      <c r="AN896" s="117"/>
      <c r="AO896" s="117"/>
      <c r="AP896" s="565"/>
      <c r="AQ896" s="45"/>
    </row>
    <row r="897" spans="1:43" ht="37.35" customHeight="1" x14ac:dyDescent="0.25">
      <c r="A897" s="1931">
        <v>41</v>
      </c>
      <c r="B897" s="1142">
        <v>1960252</v>
      </c>
      <c r="C897" s="1186" t="s">
        <v>354</v>
      </c>
      <c r="D897" s="1196" t="s">
        <v>642</v>
      </c>
      <c r="E897" s="1173">
        <v>17.329999999999998</v>
      </c>
      <c r="F897" s="1501">
        <v>230104</v>
      </c>
      <c r="G897" s="421"/>
      <c r="H897" s="421"/>
      <c r="I897" s="259"/>
      <c r="J897" s="928"/>
      <c r="K897" s="876"/>
      <c r="L897" s="928"/>
      <c r="M897" s="1142" t="s">
        <v>1235</v>
      </c>
      <c r="N897" s="1142" t="s">
        <v>1236</v>
      </c>
      <c r="O897" s="1157" t="s">
        <v>7</v>
      </c>
      <c r="P897" s="914"/>
      <c r="Q897" s="876" t="s">
        <v>2</v>
      </c>
      <c r="R897" s="1247">
        <f>22352.62134</f>
        <v>22352.621340000002</v>
      </c>
      <c r="S897" s="1142" t="s">
        <v>1235</v>
      </c>
      <c r="T897" s="1142" t="s">
        <v>1236</v>
      </c>
      <c r="U897" s="1157" t="s">
        <v>7</v>
      </c>
      <c r="V897" s="914">
        <f>17.33-12.13</f>
        <v>5.1999999999999975</v>
      </c>
      <c r="W897" s="876" t="s">
        <v>2</v>
      </c>
      <c r="X897" s="1247">
        <f>32435.18805+753.28193+15257.7144-X899-X900</f>
        <v>48144.514380000008</v>
      </c>
      <c r="Y897" s="1142" t="s">
        <v>1235</v>
      </c>
      <c r="Z897" s="1142" t="s">
        <v>1236</v>
      </c>
      <c r="AA897" s="1157" t="s">
        <v>1181</v>
      </c>
      <c r="AB897" s="914"/>
      <c r="AC897" s="876" t="s">
        <v>2</v>
      </c>
      <c r="AD897" s="1145">
        <v>1604.49053</v>
      </c>
      <c r="AE897" s="1142" t="s">
        <v>1235</v>
      </c>
      <c r="AF897" s="1142" t="s">
        <v>1236</v>
      </c>
      <c r="AG897" s="1157" t="s">
        <v>1181</v>
      </c>
      <c r="AH897" s="914"/>
      <c r="AI897" s="876" t="s">
        <v>2</v>
      </c>
      <c r="AJ897" s="1247">
        <v>1711.9913300000001</v>
      </c>
      <c r="AK897" s="1142" t="s">
        <v>1235</v>
      </c>
      <c r="AL897" s="1142" t="s">
        <v>1236</v>
      </c>
      <c r="AM897" s="1157" t="s">
        <v>1181</v>
      </c>
      <c r="AN897" s="914"/>
      <c r="AO897" s="876" t="s">
        <v>2</v>
      </c>
      <c r="AP897" s="1247">
        <v>1828.40708</v>
      </c>
      <c r="AQ897" s="1244" t="s">
        <v>1230</v>
      </c>
    </row>
    <row r="898" spans="1:43" ht="37.35" customHeight="1" x14ac:dyDescent="0.25">
      <c r="A898" s="1931"/>
      <c r="B898" s="1142"/>
      <c r="C898" s="1186"/>
      <c r="D898" s="1196"/>
      <c r="E898" s="1173"/>
      <c r="F898" s="1501"/>
      <c r="G898" s="421"/>
      <c r="H898" s="421"/>
      <c r="I898" s="259"/>
      <c r="J898" s="928"/>
      <c r="K898" s="876"/>
      <c r="L898" s="928"/>
      <c r="M898" s="1142"/>
      <c r="N898" s="1142"/>
      <c r="O898" s="1157"/>
      <c r="P898" s="928"/>
      <c r="Q898" s="876" t="s">
        <v>3</v>
      </c>
      <c r="R898" s="1247"/>
      <c r="S898" s="1142"/>
      <c r="T898" s="1142"/>
      <c r="U898" s="1157"/>
      <c r="V898" s="928">
        <v>31890</v>
      </c>
      <c r="W898" s="876" t="s">
        <v>3</v>
      </c>
      <c r="X898" s="1247"/>
      <c r="Y898" s="1142"/>
      <c r="Z898" s="1142"/>
      <c r="AA898" s="1157"/>
      <c r="AB898" s="928"/>
      <c r="AC898" s="876" t="s">
        <v>3</v>
      </c>
      <c r="AD898" s="1145"/>
      <c r="AE898" s="1142"/>
      <c r="AF898" s="1142"/>
      <c r="AG898" s="1157"/>
      <c r="AH898" s="928"/>
      <c r="AI898" s="876" t="s">
        <v>3</v>
      </c>
      <c r="AJ898" s="1247"/>
      <c r="AK898" s="1142"/>
      <c r="AL898" s="1142"/>
      <c r="AM898" s="1157"/>
      <c r="AN898" s="928"/>
      <c r="AO898" s="876" t="s">
        <v>3</v>
      </c>
      <c r="AP898" s="1247"/>
      <c r="AQ898" s="1244"/>
    </row>
    <row r="899" spans="1:43" ht="37.35" customHeight="1" x14ac:dyDescent="0.25">
      <c r="A899" s="1931"/>
      <c r="B899" s="1142"/>
      <c r="C899" s="1186"/>
      <c r="D899" s="1196"/>
      <c r="E899" s="1173"/>
      <c r="F899" s="1501"/>
      <c r="G899" s="421"/>
      <c r="H899" s="421"/>
      <c r="I899" s="259"/>
      <c r="J899" s="928"/>
      <c r="K899" s="876"/>
      <c r="L899" s="928"/>
      <c r="M899" s="1142"/>
      <c r="N899" s="1142"/>
      <c r="O899" s="1053" t="s">
        <v>8</v>
      </c>
      <c r="P899" s="911"/>
      <c r="Q899" s="42" t="s">
        <v>2</v>
      </c>
      <c r="R899" s="524"/>
      <c r="S899" s="1142"/>
      <c r="T899" s="1142"/>
      <c r="U899" s="1053" t="s">
        <v>8</v>
      </c>
      <c r="V899" s="911">
        <v>5.1230000000000002</v>
      </c>
      <c r="W899" s="42" t="s">
        <v>2</v>
      </c>
      <c r="X899" s="911">
        <v>76.554000000000002</v>
      </c>
      <c r="Y899" s="1142"/>
      <c r="Z899" s="1142"/>
      <c r="AA899" s="1053" t="s">
        <v>8</v>
      </c>
      <c r="AB899" s="911"/>
      <c r="AC899" s="42" t="s">
        <v>2</v>
      </c>
      <c r="AD899" s="911">
        <v>0</v>
      </c>
      <c r="AE899" s="1142"/>
      <c r="AF899" s="1142"/>
      <c r="AG899" s="1053" t="s">
        <v>8</v>
      </c>
      <c r="AH899" s="911"/>
      <c r="AI899" s="42" t="s">
        <v>2</v>
      </c>
      <c r="AJ899" s="911">
        <v>0</v>
      </c>
      <c r="AK899" s="1142"/>
      <c r="AL899" s="1142"/>
      <c r="AM899" s="1053" t="s">
        <v>8</v>
      </c>
      <c r="AN899" s="911"/>
      <c r="AO899" s="42" t="s">
        <v>2</v>
      </c>
      <c r="AP899" s="911">
        <v>0</v>
      </c>
      <c r="AQ899" s="1244"/>
    </row>
    <row r="900" spans="1:43" ht="37.35" customHeight="1" thickBot="1" x14ac:dyDescent="0.3">
      <c r="A900" s="1932"/>
      <c r="B900" s="1220"/>
      <c r="C900" s="1490"/>
      <c r="D900" s="1608"/>
      <c r="E900" s="1636"/>
      <c r="F900" s="1686"/>
      <c r="G900" s="1084"/>
      <c r="H900" s="1084"/>
      <c r="I900" s="1100"/>
      <c r="J900" s="975"/>
      <c r="K900" s="879"/>
      <c r="L900" s="975"/>
      <c r="M900" s="1220"/>
      <c r="N900" s="1220"/>
      <c r="O900" s="976" t="s">
        <v>32</v>
      </c>
      <c r="P900" s="1087"/>
      <c r="Q900" s="1109" t="s">
        <v>10</v>
      </c>
      <c r="R900" s="555"/>
      <c r="S900" s="1220"/>
      <c r="T900" s="1220"/>
      <c r="U900" s="880" t="s">
        <v>32</v>
      </c>
      <c r="V900" s="1087">
        <v>36</v>
      </c>
      <c r="W900" s="1109" t="s">
        <v>10</v>
      </c>
      <c r="X900" s="1087">
        <v>225.11600000000001</v>
      </c>
      <c r="Y900" s="1220"/>
      <c r="Z900" s="1220"/>
      <c r="AA900" s="880" t="s">
        <v>32</v>
      </c>
      <c r="AB900" s="1087"/>
      <c r="AC900" s="1109" t="s">
        <v>10</v>
      </c>
      <c r="AD900" s="1087">
        <v>0</v>
      </c>
      <c r="AE900" s="1246"/>
      <c r="AF900" s="1246"/>
      <c r="AG900" s="891" t="s">
        <v>32</v>
      </c>
      <c r="AH900" s="943"/>
      <c r="AI900" s="177" t="s">
        <v>10</v>
      </c>
      <c r="AJ900" s="943">
        <v>0</v>
      </c>
      <c r="AK900" s="1246"/>
      <c r="AL900" s="1246"/>
      <c r="AM900" s="891" t="s">
        <v>32</v>
      </c>
      <c r="AN900" s="943"/>
      <c r="AO900" s="177" t="s">
        <v>10</v>
      </c>
      <c r="AP900" s="943">
        <v>0</v>
      </c>
      <c r="AQ900" s="1245"/>
    </row>
    <row r="901" spans="1:43" ht="19.350000000000001" customHeight="1" x14ac:dyDescent="0.25">
      <c r="A901" s="1331">
        <v>42</v>
      </c>
      <c r="B901" s="1281">
        <v>1960382</v>
      </c>
      <c r="C901" s="2045" t="s">
        <v>1248</v>
      </c>
      <c r="D901" s="1319" t="s">
        <v>759</v>
      </c>
      <c r="E901" s="1702">
        <v>33.1</v>
      </c>
      <c r="F901" s="1678">
        <v>219473</v>
      </c>
      <c r="G901" s="472"/>
      <c r="H901" s="472"/>
      <c r="I901" s="473"/>
      <c r="J901" s="927"/>
      <c r="K901" s="964"/>
      <c r="L901" s="927"/>
      <c r="M901" s="690"/>
      <c r="N901" s="690"/>
      <c r="O901" s="691"/>
      <c r="P901" s="913"/>
      <c r="Q901" s="964"/>
      <c r="R901" s="693"/>
      <c r="S901" s="1188" t="s">
        <v>1247</v>
      </c>
      <c r="T901" s="1188" t="s">
        <v>1246</v>
      </c>
      <c r="U901" s="1421" t="s">
        <v>7</v>
      </c>
      <c r="V901" s="913"/>
      <c r="W901" s="964" t="s">
        <v>2</v>
      </c>
      <c r="X901" s="1700">
        <v>90300</v>
      </c>
      <c r="Y901" s="1188" t="s">
        <v>1247</v>
      </c>
      <c r="Z901" s="1188" t="s">
        <v>1246</v>
      </c>
      <c r="AA901" s="1421" t="s">
        <v>7</v>
      </c>
      <c r="AB901" s="913">
        <f>26.625-12.15</f>
        <v>14.475</v>
      </c>
      <c r="AC901" s="964" t="s">
        <v>2</v>
      </c>
      <c r="AD901" s="1681">
        <f>85136.53435-AD903-AD905-AD904</f>
        <v>81518.328350000011</v>
      </c>
      <c r="AE901" s="457"/>
      <c r="AF901" s="319"/>
      <c r="AG901" s="319"/>
      <c r="AH901" s="319"/>
      <c r="AI901" s="319"/>
      <c r="AJ901" s="319"/>
      <c r="AK901" s="319"/>
      <c r="AL901" s="319"/>
      <c r="AM901" s="319"/>
      <c r="AN901" s="319"/>
      <c r="AO901" s="319"/>
      <c r="AP901" s="320"/>
      <c r="AQ901" s="63"/>
    </row>
    <row r="902" spans="1:43" ht="23.85" customHeight="1" x14ac:dyDescent="0.25">
      <c r="A902" s="1332"/>
      <c r="B902" s="1142"/>
      <c r="C902" s="1217"/>
      <c r="D902" s="1320"/>
      <c r="E902" s="1145"/>
      <c r="F902" s="1247"/>
      <c r="G902" s="421"/>
      <c r="H902" s="421"/>
      <c r="I902" s="259"/>
      <c r="J902" s="928"/>
      <c r="K902" s="876"/>
      <c r="L902" s="928"/>
      <c r="M902" s="56"/>
      <c r="N902" s="56"/>
      <c r="O902" s="206"/>
      <c r="P902" s="928"/>
      <c r="Q902" s="876"/>
      <c r="R902" s="653"/>
      <c r="S902" s="1147"/>
      <c r="T902" s="1147"/>
      <c r="U902" s="1679"/>
      <c r="V902" s="928"/>
      <c r="W902" s="876" t="s">
        <v>3</v>
      </c>
      <c r="X902" s="1155"/>
      <c r="Y902" s="1147"/>
      <c r="Z902" s="1147"/>
      <c r="AA902" s="1679"/>
      <c r="AB902" s="928">
        <v>89954</v>
      </c>
      <c r="AC902" s="876" t="s">
        <v>3</v>
      </c>
      <c r="AD902" s="1682"/>
      <c r="AE902" s="314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316"/>
      <c r="AQ902" s="8"/>
    </row>
    <row r="903" spans="1:43" ht="23.85" customHeight="1" x14ac:dyDescent="0.25">
      <c r="A903" s="1332"/>
      <c r="B903" s="1142"/>
      <c r="C903" s="1217"/>
      <c r="D903" s="1320"/>
      <c r="E903" s="1145"/>
      <c r="F903" s="1247"/>
      <c r="G903" s="421"/>
      <c r="H903" s="421"/>
      <c r="I903" s="259"/>
      <c r="J903" s="928"/>
      <c r="K903" s="876"/>
      <c r="L903" s="928"/>
      <c r="M903" s="56"/>
      <c r="N903" s="56"/>
      <c r="O903" s="206"/>
      <c r="P903" s="928"/>
      <c r="Q903" s="876"/>
      <c r="R903" s="653"/>
      <c r="S903" s="1147"/>
      <c r="T903" s="1147"/>
      <c r="U903" s="1053" t="s">
        <v>8</v>
      </c>
      <c r="V903" s="928"/>
      <c r="W903" s="42" t="s">
        <v>2</v>
      </c>
      <c r="X903" s="653"/>
      <c r="Y903" s="1147"/>
      <c r="Z903" s="1147"/>
      <c r="AA903" s="1053" t="s">
        <v>8</v>
      </c>
      <c r="AB903" s="928">
        <v>30.3614</v>
      </c>
      <c r="AC903" s="42" t="s">
        <v>2</v>
      </c>
      <c r="AD903" s="895">
        <v>433.036</v>
      </c>
      <c r="AE903" s="314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316"/>
      <c r="AQ903" s="8"/>
    </row>
    <row r="904" spans="1:43" ht="42" customHeight="1" thickBot="1" x14ac:dyDescent="0.3">
      <c r="A904" s="1546"/>
      <c r="B904" s="1997"/>
      <c r="C904" s="1995"/>
      <c r="D904" s="1922"/>
      <c r="E904" s="2046"/>
      <c r="F904" s="1701"/>
      <c r="G904" s="725"/>
      <c r="H904" s="725"/>
      <c r="I904" s="1138"/>
      <c r="J904" s="1026"/>
      <c r="K904" s="1124"/>
      <c r="L904" s="1026"/>
      <c r="M904" s="726"/>
      <c r="N904" s="726"/>
      <c r="O904" s="721"/>
      <c r="P904" s="1026"/>
      <c r="Q904" s="1124"/>
      <c r="R904" s="781"/>
      <c r="S904" s="1147"/>
      <c r="T904" s="1147"/>
      <c r="U904" s="891" t="s">
        <v>32</v>
      </c>
      <c r="V904" s="1025"/>
      <c r="W904" s="42" t="s">
        <v>10</v>
      </c>
      <c r="X904" s="653"/>
      <c r="Y904" s="1147"/>
      <c r="Z904" s="1147"/>
      <c r="AA904" s="891" t="s">
        <v>32</v>
      </c>
      <c r="AB904" s="928">
        <v>372</v>
      </c>
      <c r="AC904" s="42" t="s">
        <v>10</v>
      </c>
      <c r="AD904" s="928">
        <v>2555.924</v>
      </c>
      <c r="AE904" s="314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316"/>
      <c r="AQ904" s="8"/>
    </row>
    <row r="905" spans="1:43" ht="36.6" customHeight="1" thickBot="1" x14ac:dyDescent="0.3">
      <c r="A905" s="1333"/>
      <c r="B905" s="1246"/>
      <c r="C905" s="2047"/>
      <c r="D905" s="1321"/>
      <c r="E905" s="1703"/>
      <c r="F905" s="1704"/>
      <c r="G905" s="588"/>
      <c r="H905" s="588"/>
      <c r="I905" s="261"/>
      <c r="J905" s="1024"/>
      <c r="K905" s="965"/>
      <c r="L905" s="1024"/>
      <c r="M905" s="694"/>
      <c r="N905" s="694"/>
      <c r="O905" s="659"/>
      <c r="P905" s="1024"/>
      <c r="Q905" s="965"/>
      <c r="R905" s="696"/>
      <c r="S905" s="1212"/>
      <c r="T905" s="1212"/>
      <c r="U905" s="891" t="s">
        <v>1219</v>
      </c>
      <c r="V905" s="585"/>
      <c r="W905" s="1023" t="s">
        <v>1080</v>
      </c>
      <c r="X905" s="653"/>
      <c r="Y905" s="1212"/>
      <c r="Z905" s="1212"/>
      <c r="AA905" s="891" t="s">
        <v>1219</v>
      </c>
      <c r="AB905" s="585">
        <v>204</v>
      </c>
      <c r="AC905" s="1023" t="s">
        <v>1080</v>
      </c>
      <c r="AD905" s="1130">
        <v>629.24599999999998</v>
      </c>
      <c r="AE905" s="314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316"/>
      <c r="AQ905" s="8"/>
    </row>
    <row r="906" spans="1:43" ht="19.350000000000001" customHeight="1" x14ac:dyDescent="0.25">
      <c r="A906" s="1331">
        <v>43</v>
      </c>
      <c r="B906" s="1240">
        <v>1960003</v>
      </c>
      <c r="C906" s="2045" t="s">
        <v>1176</v>
      </c>
      <c r="D906" s="1195" t="s">
        <v>42</v>
      </c>
      <c r="E906" s="1445">
        <v>45.325000000000003</v>
      </c>
      <c r="F906" s="2048">
        <v>723355</v>
      </c>
      <c r="G906" s="2049"/>
      <c r="H906" s="2049"/>
      <c r="I906" s="1052"/>
      <c r="J906" s="910"/>
      <c r="K906" s="881"/>
      <c r="L906" s="910"/>
      <c r="M906" s="690"/>
      <c r="N906" s="690"/>
      <c r="O906" s="691"/>
      <c r="P906" s="258"/>
      <c r="Q906" s="964"/>
      <c r="R906" s="693"/>
      <c r="S906" s="1188" t="s">
        <v>1178</v>
      </c>
      <c r="T906" s="1188" t="s">
        <v>1262</v>
      </c>
      <c r="U906" s="1421" t="s">
        <v>7</v>
      </c>
      <c r="V906" s="258"/>
      <c r="W906" s="964" t="s">
        <v>2</v>
      </c>
      <c r="X906" s="1701">
        <v>104902.57018</v>
      </c>
      <c r="Y906" s="1188" t="s">
        <v>1178</v>
      </c>
      <c r="Z906" s="1188" t="s">
        <v>1262</v>
      </c>
      <c r="AA906" s="1421" t="s">
        <v>7</v>
      </c>
      <c r="AB906" s="258">
        <f>45.325-11.935</f>
        <v>33.39</v>
      </c>
      <c r="AC906" s="964" t="s">
        <v>2</v>
      </c>
      <c r="AD906" s="1681">
        <f>209805.13774-AD908</f>
        <v>208176.72774</v>
      </c>
      <c r="AE906" s="314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316"/>
      <c r="AQ906" s="8"/>
    </row>
    <row r="907" spans="1:43" ht="23.85" customHeight="1" x14ac:dyDescent="0.25">
      <c r="A907" s="1332"/>
      <c r="B907" s="1218"/>
      <c r="C907" s="1217"/>
      <c r="D907" s="1196"/>
      <c r="E907" s="1446"/>
      <c r="F907" s="1146"/>
      <c r="G907" s="2050"/>
      <c r="H907" s="2050"/>
      <c r="I907" s="1053"/>
      <c r="J907" s="911"/>
      <c r="K907" s="882"/>
      <c r="L907" s="911"/>
      <c r="M907" s="56"/>
      <c r="N907" s="56"/>
      <c r="O907" s="206"/>
      <c r="P907" s="260"/>
      <c r="Q907" s="876"/>
      <c r="R907" s="653"/>
      <c r="S907" s="1147"/>
      <c r="T907" s="1147"/>
      <c r="U907" s="1679"/>
      <c r="V907" s="260"/>
      <c r="W907" s="876" t="s">
        <v>3</v>
      </c>
      <c r="X907" s="1155"/>
      <c r="Y907" s="1147"/>
      <c r="Z907" s="1147"/>
      <c r="AA907" s="1679"/>
      <c r="AB907" s="421">
        <v>310023.45</v>
      </c>
      <c r="AC907" s="876" t="s">
        <v>3</v>
      </c>
      <c r="AD907" s="1682"/>
      <c r="AE907" s="314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316"/>
      <c r="AQ907" s="8"/>
    </row>
    <row r="908" spans="1:43" ht="23.85" customHeight="1" thickBot="1" x14ac:dyDescent="0.3">
      <c r="A908" s="1333"/>
      <c r="B908" s="1241"/>
      <c r="C908" s="2047"/>
      <c r="D908" s="1197"/>
      <c r="E908" s="1996"/>
      <c r="F908" s="2051"/>
      <c r="G908" s="2052"/>
      <c r="H908" s="2052"/>
      <c r="I908" s="1113"/>
      <c r="J908" s="943"/>
      <c r="K908" s="889"/>
      <c r="L908" s="943"/>
      <c r="M908" s="694"/>
      <c r="N908" s="694"/>
      <c r="O908" s="659"/>
      <c r="P908" s="695"/>
      <c r="Q908" s="965"/>
      <c r="R908" s="696"/>
      <c r="S908" s="1212"/>
      <c r="T908" s="1212"/>
      <c r="U908" s="1113" t="s">
        <v>8</v>
      </c>
      <c r="V908" s="695"/>
      <c r="W908" s="177" t="s">
        <v>2</v>
      </c>
      <c r="X908" s="653"/>
      <c r="Y908" s="1212"/>
      <c r="Z908" s="1212"/>
      <c r="AA908" s="1113" t="s">
        <v>8</v>
      </c>
      <c r="AB908" s="695">
        <v>102.90900000000001</v>
      </c>
      <c r="AC908" s="177" t="s">
        <v>2</v>
      </c>
      <c r="AD908" s="1021">
        <v>1628.41</v>
      </c>
      <c r="AE908" s="314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316"/>
      <c r="AQ908" s="8"/>
    </row>
    <row r="909" spans="1:43" ht="23.85" customHeight="1" x14ac:dyDescent="0.25">
      <c r="A909" s="1559">
        <v>44</v>
      </c>
      <c r="B909" s="1152">
        <v>1960302</v>
      </c>
      <c r="C909" s="1150" t="s">
        <v>287</v>
      </c>
      <c r="D909" s="1260" t="s">
        <v>550</v>
      </c>
      <c r="E909" s="1993">
        <v>8.6</v>
      </c>
      <c r="F909" s="2053">
        <v>54505</v>
      </c>
      <c r="G909" s="2054"/>
      <c r="H909" s="2054"/>
      <c r="I909" s="2055"/>
      <c r="J909" s="1072"/>
      <c r="K909" s="912"/>
      <c r="L909" s="912"/>
      <c r="M909" s="1090"/>
      <c r="N909" s="1090"/>
      <c r="O909" s="246"/>
      <c r="P909" s="1092"/>
      <c r="Q909" s="1032"/>
      <c r="R909" s="705"/>
      <c r="S909" s="1147" t="s">
        <v>1031</v>
      </c>
      <c r="T909" s="1147" t="s">
        <v>1254</v>
      </c>
      <c r="U909" s="1679" t="s">
        <v>7</v>
      </c>
      <c r="V909" s="1091">
        <v>8.6</v>
      </c>
      <c r="W909" s="1032" t="s">
        <v>2</v>
      </c>
      <c r="X909" s="1850">
        <f>84033.33554-X911-X912</f>
        <v>82525.390540000008</v>
      </c>
      <c r="Y909" s="1033"/>
      <c r="Z909" s="1032"/>
      <c r="AA909" s="907"/>
      <c r="AB909" s="1092"/>
      <c r="AC909" s="1032"/>
      <c r="AD909" s="1035"/>
      <c r="AE909" s="314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316"/>
      <c r="AQ909" s="8"/>
    </row>
    <row r="910" spans="1:43" ht="23.85" customHeight="1" x14ac:dyDescent="0.25">
      <c r="A910" s="1332"/>
      <c r="B910" s="1218"/>
      <c r="C910" s="1217"/>
      <c r="D910" s="1196"/>
      <c r="E910" s="1446"/>
      <c r="F910" s="1146"/>
      <c r="G910" s="2056"/>
      <c r="H910" s="2056"/>
      <c r="I910" s="2057"/>
      <c r="J910" s="1014"/>
      <c r="K910" s="911"/>
      <c r="L910" s="911"/>
      <c r="M910" s="56"/>
      <c r="N910" s="56"/>
      <c r="O910" s="206"/>
      <c r="P910" s="260"/>
      <c r="Q910" s="876"/>
      <c r="R910" s="653"/>
      <c r="S910" s="1147"/>
      <c r="T910" s="1147"/>
      <c r="U910" s="1679"/>
      <c r="V910" s="421">
        <v>54505</v>
      </c>
      <c r="W910" s="876" t="s">
        <v>3</v>
      </c>
      <c r="X910" s="1682"/>
      <c r="Y910" s="2058"/>
      <c r="Z910" s="876"/>
      <c r="AA910" s="877"/>
      <c r="AB910" s="260"/>
      <c r="AC910" s="876"/>
      <c r="AD910" s="928"/>
      <c r="AE910" s="314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316"/>
      <c r="AQ910" s="8"/>
    </row>
    <row r="911" spans="1:43" ht="23.85" customHeight="1" x14ac:dyDescent="0.25">
      <c r="A911" s="1332"/>
      <c r="B911" s="1218"/>
      <c r="C911" s="1217"/>
      <c r="D911" s="1196"/>
      <c r="E911" s="1446"/>
      <c r="F911" s="1146"/>
      <c r="G911" s="2056"/>
      <c r="H911" s="2056"/>
      <c r="I911" s="2057"/>
      <c r="J911" s="1014"/>
      <c r="K911" s="911"/>
      <c r="L911" s="911"/>
      <c r="M911" s="56"/>
      <c r="N911" s="56"/>
      <c r="O911" s="206"/>
      <c r="P911" s="260"/>
      <c r="Q911" s="876"/>
      <c r="R911" s="653"/>
      <c r="S911" s="1147"/>
      <c r="T911" s="1147"/>
      <c r="U911" s="1053" t="s">
        <v>8</v>
      </c>
      <c r="V911" s="421">
        <v>25.300999999999998</v>
      </c>
      <c r="W911" s="42" t="s">
        <v>2</v>
      </c>
      <c r="X911" s="895">
        <v>357.71899999999999</v>
      </c>
      <c r="Y911" s="2058"/>
      <c r="Z911" s="876"/>
      <c r="AA911" s="877"/>
      <c r="AB911" s="260"/>
      <c r="AC911" s="876"/>
      <c r="AD911" s="928"/>
      <c r="AE911" s="314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316"/>
      <c r="AQ911" s="8"/>
    </row>
    <row r="912" spans="1:43" ht="38.25" customHeight="1" thickBot="1" x14ac:dyDescent="0.3">
      <c r="A912" s="1333"/>
      <c r="B912" s="1241"/>
      <c r="C912" s="2047"/>
      <c r="D912" s="1197"/>
      <c r="E912" s="1996"/>
      <c r="F912" s="2051"/>
      <c r="G912" s="2059"/>
      <c r="H912" s="2059"/>
      <c r="I912" s="2060"/>
      <c r="J912" s="163"/>
      <c r="K912" s="943"/>
      <c r="L912" s="943"/>
      <c r="M912" s="694"/>
      <c r="N912" s="694"/>
      <c r="O912" s="659"/>
      <c r="P912" s="695"/>
      <c r="Q912" s="965"/>
      <c r="R912" s="696"/>
      <c r="S912" s="1212"/>
      <c r="T912" s="1212"/>
      <c r="U912" s="891" t="s">
        <v>32</v>
      </c>
      <c r="V912" s="588">
        <v>173</v>
      </c>
      <c r="W912" s="177" t="s">
        <v>10</v>
      </c>
      <c r="X912" s="1021">
        <v>1150.2260000000001</v>
      </c>
      <c r="Y912" s="2058"/>
      <c r="Z912" s="876"/>
      <c r="AA912" s="877"/>
      <c r="AB912" s="260"/>
      <c r="AC912" s="876"/>
      <c r="AD912" s="928"/>
      <c r="AE912" s="314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316"/>
      <c r="AQ912" s="8"/>
    </row>
    <row r="913" spans="1:43" ht="23.85" customHeight="1" x14ac:dyDescent="0.25">
      <c r="A913" s="1331">
        <v>45</v>
      </c>
      <c r="B913" s="1240"/>
      <c r="C913" s="2045" t="s">
        <v>1252</v>
      </c>
      <c r="D913" s="1319" t="s">
        <v>1253</v>
      </c>
      <c r="E913" s="1445">
        <v>2.992</v>
      </c>
      <c r="F913" s="2048">
        <f>V914</f>
        <v>17940</v>
      </c>
      <c r="G913" s="2061"/>
      <c r="H913" s="2061"/>
      <c r="I913" s="2062"/>
      <c r="J913" s="1056"/>
      <c r="K913" s="910"/>
      <c r="L913" s="910"/>
      <c r="M913" s="690"/>
      <c r="N913" s="690"/>
      <c r="O913" s="691"/>
      <c r="P913" s="692"/>
      <c r="Q913" s="964"/>
      <c r="R913" s="693"/>
      <c r="S913" s="1188" t="s">
        <v>1031</v>
      </c>
      <c r="T913" s="1188" t="s">
        <v>1255</v>
      </c>
      <c r="U913" s="1421" t="s">
        <v>7</v>
      </c>
      <c r="V913" s="258">
        <v>2.992</v>
      </c>
      <c r="W913" s="964" t="s">
        <v>2</v>
      </c>
      <c r="X913" s="1681">
        <f>37578.97625-X915-X916</f>
        <v>37208.099249999999</v>
      </c>
      <c r="Y913" s="2058"/>
      <c r="Z913" s="876"/>
      <c r="AA913" s="877"/>
      <c r="AB913" s="260"/>
      <c r="AC913" s="876"/>
      <c r="AD913" s="928"/>
      <c r="AE913" s="314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316"/>
      <c r="AQ913" s="8"/>
    </row>
    <row r="914" spans="1:43" ht="23.85" customHeight="1" x14ac:dyDescent="0.25">
      <c r="A914" s="1332"/>
      <c r="B914" s="1218"/>
      <c r="C914" s="1217"/>
      <c r="D914" s="1320"/>
      <c r="E914" s="1446"/>
      <c r="F914" s="1146"/>
      <c r="G914" s="2056"/>
      <c r="H914" s="2056"/>
      <c r="I914" s="2057"/>
      <c r="J914" s="1014"/>
      <c r="K914" s="911"/>
      <c r="L914" s="911"/>
      <c r="M914" s="56"/>
      <c r="N914" s="56"/>
      <c r="O914" s="206"/>
      <c r="P914" s="260"/>
      <c r="Q914" s="876"/>
      <c r="R914" s="653"/>
      <c r="S914" s="1147"/>
      <c r="T914" s="1147"/>
      <c r="U914" s="1679"/>
      <c r="V914" s="421">
        <v>17940</v>
      </c>
      <c r="W914" s="876" t="s">
        <v>3</v>
      </c>
      <c r="X914" s="1682"/>
      <c r="Y914" s="2058"/>
      <c r="Z914" s="876"/>
      <c r="AA914" s="877"/>
      <c r="AB914" s="260"/>
      <c r="AC914" s="876"/>
      <c r="AD914" s="928"/>
      <c r="AE914" s="314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316"/>
      <c r="AQ914" s="8"/>
    </row>
    <row r="915" spans="1:43" ht="23.85" customHeight="1" x14ac:dyDescent="0.25">
      <c r="A915" s="1332"/>
      <c r="B915" s="1218"/>
      <c r="C915" s="1217"/>
      <c r="D915" s="1320"/>
      <c r="E915" s="1446"/>
      <c r="F915" s="1146"/>
      <c r="G915" s="2056"/>
      <c r="H915" s="2056"/>
      <c r="I915" s="2057"/>
      <c r="J915" s="1014"/>
      <c r="K915" s="911"/>
      <c r="L915" s="911"/>
      <c r="M915" s="56"/>
      <c r="N915" s="56"/>
      <c r="O915" s="206"/>
      <c r="P915" s="260"/>
      <c r="Q915" s="876"/>
      <c r="R915" s="653"/>
      <c r="S915" s="1147"/>
      <c r="T915" s="1147"/>
      <c r="U915" s="1053" t="s">
        <v>8</v>
      </c>
      <c r="V915" s="421">
        <v>9.0259999999999998</v>
      </c>
      <c r="W915" s="42" t="s">
        <v>2</v>
      </c>
      <c r="X915" s="895">
        <v>141.51499999999999</v>
      </c>
      <c r="Y915" s="1033"/>
      <c r="Z915" s="1032"/>
      <c r="AA915" s="907"/>
      <c r="AB915" s="1092"/>
      <c r="AC915" s="1032"/>
      <c r="AD915" s="1035"/>
      <c r="AE915" s="314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316"/>
      <c r="AQ915" s="8"/>
    </row>
    <row r="916" spans="1:43" ht="39.75" customHeight="1" thickBot="1" x14ac:dyDescent="0.3">
      <c r="A916" s="1333"/>
      <c r="B916" s="1241"/>
      <c r="C916" s="2047"/>
      <c r="D916" s="1321"/>
      <c r="E916" s="1996"/>
      <c r="F916" s="2051"/>
      <c r="G916" s="2063"/>
      <c r="H916" s="2063"/>
      <c r="I916" s="2064"/>
      <c r="J916" s="1123"/>
      <c r="K916" s="1106"/>
      <c r="L916" s="1106"/>
      <c r="M916" s="726"/>
      <c r="N916" s="726"/>
      <c r="O916" s="721"/>
      <c r="P916" s="1136"/>
      <c r="Q916" s="1124"/>
      <c r="R916" s="781"/>
      <c r="S916" s="1212"/>
      <c r="T916" s="1212"/>
      <c r="U916" s="961" t="s">
        <v>32</v>
      </c>
      <c r="V916" s="725">
        <v>34</v>
      </c>
      <c r="W916" s="710" t="s">
        <v>10</v>
      </c>
      <c r="X916" s="867">
        <v>229.36199999999999</v>
      </c>
      <c r="Y916" s="933"/>
      <c r="Z916" s="918"/>
      <c r="AA916" s="951"/>
      <c r="AB916" s="1120"/>
      <c r="AC916" s="918"/>
      <c r="AD916" s="1025"/>
      <c r="AE916" s="118"/>
      <c r="AF916" s="765"/>
      <c r="AG916" s="765"/>
      <c r="AH916" s="765"/>
      <c r="AI916" s="765"/>
      <c r="AJ916" s="765"/>
      <c r="AK916" s="765"/>
      <c r="AL916" s="765"/>
      <c r="AM916" s="765"/>
      <c r="AN916" s="765"/>
      <c r="AO916" s="765"/>
      <c r="AP916" s="782"/>
      <c r="AQ916" s="783"/>
    </row>
    <row r="917" spans="1:43" ht="39.75" customHeight="1" x14ac:dyDescent="0.25">
      <c r="A917" s="1920">
        <v>46</v>
      </c>
      <c r="B917" s="1319">
        <v>1960073</v>
      </c>
      <c r="C917" s="1923" t="s">
        <v>878</v>
      </c>
      <c r="D917" s="1195" t="s">
        <v>122</v>
      </c>
      <c r="E917" s="1842">
        <v>5.0330000000000004</v>
      </c>
      <c r="F917" s="1564">
        <v>42041</v>
      </c>
      <c r="G917" s="777"/>
      <c r="H917" s="982"/>
      <c r="I917" s="1052"/>
      <c r="J917" s="526"/>
      <c r="K917" s="886"/>
      <c r="L917" s="526"/>
      <c r="M917" s="328"/>
      <c r="N917" s="328"/>
      <c r="O917" s="215"/>
      <c r="P917" s="329"/>
      <c r="Q917" s="328"/>
      <c r="R917" s="821"/>
      <c r="S917" s="1319" t="s">
        <v>1031</v>
      </c>
      <c r="T917" s="1319" t="s">
        <v>1267</v>
      </c>
      <c r="U917" s="1698" t="s">
        <v>7</v>
      </c>
      <c r="V917" s="1041">
        <v>1.9</v>
      </c>
      <c r="W917" s="804" t="s">
        <v>2</v>
      </c>
      <c r="X917" s="1928">
        <v>22996.865519999999</v>
      </c>
      <c r="Y917" s="719"/>
      <c r="Z917" s="720"/>
      <c r="AA917" s="721"/>
      <c r="AB917" s="722"/>
      <c r="AC917" s="710"/>
      <c r="AD917" s="723"/>
      <c r="AE917" s="118"/>
      <c r="AF917" s="765"/>
      <c r="AG917" s="765"/>
      <c r="AH917" s="765"/>
      <c r="AI917" s="765"/>
      <c r="AJ917" s="765"/>
      <c r="AK917" s="765"/>
      <c r="AL917" s="765"/>
      <c r="AM917" s="765"/>
      <c r="AN917" s="765"/>
      <c r="AO917" s="765"/>
      <c r="AP917" s="782"/>
      <c r="AQ917" s="783"/>
    </row>
    <row r="918" spans="1:43" ht="39.75" customHeight="1" thickBot="1" x14ac:dyDescent="0.3">
      <c r="A918" s="1921"/>
      <c r="B918" s="1320"/>
      <c r="C918" s="1924"/>
      <c r="D918" s="1196"/>
      <c r="E918" s="1926"/>
      <c r="F918" s="1565"/>
      <c r="G918" s="778"/>
      <c r="H918" s="984"/>
      <c r="I918" s="1102"/>
      <c r="J918" s="1069"/>
      <c r="K918" s="890"/>
      <c r="L918" s="174"/>
      <c r="M918" s="331"/>
      <c r="N918" s="331"/>
      <c r="O918" s="220"/>
      <c r="P918" s="818"/>
      <c r="Q918" s="331"/>
      <c r="R918" s="822"/>
      <c r="S918" s="1320"/>
      <c r="T918" s="1320"/>
      <c r="U918" s="1699"/>
      <c r="V918" s="1014">
        <v>14762</v>
      </c>
      <c r="W918" s="1114" t="s">
        <v>3</v>
      </c>
      <c r="X918" s="1929"/>
      <c r="Y918" s="719"/>
      <c r="Z918" s="720"/>
      <c r="AA918" s="721"/>
      <c r="AB918" s="722"/>
      <c r="AC918" s="710"/>
      <c r="AD918" s="723"/>
      <c r="AE918" s="118"/>
      <c r="AF918" s="765"/>
      <c r="AG918" s="765"/>
      <c r="AH918" s="765"/>
      <c r="AI918" s="765"/>
      <c r="AJ918" s="765"/>
      <c r="AK918" s="765"/>
      <c r="AL918" s="765"/>
      <c r="AM918" s="765"/>
      <c r="AN918" s="765"/>
      <c r="AO918" s="765"/>
      <c r="AP918" s="782"/>
      <c r="AQ918" s="783"/>
    </row>
    <row r="919" spans="1:43" ht="39.75" customHeight="1" thickBot="1" x14ac:dyDescent="0.3">
      <c r="A919" s="1921"/>
      <c r="B919" s="1320"/>
      <c r="C919" s="1924"/>
      <c r="D919" s="1196"/>
      <c r="E919" s="1926"/>
      <c r="F919" s="1565"/>
      <c r="G919" s="774"/>
      <c r="H919" s="774"/>
      <c r="I919" s="775"/>
      <c r="J919" s="717"/>
      <c r="K919" s="718"/>
      <c r="L919" s="717"/>
      <c r="M919" s="718"/>
      <c r="N919" s="718"/>
      <c r="O919" s="729"/>
      <c r="P919" s="717"/>
      <c r="Q919" s="718"/>
      <c r="R919" s="776"/>
      <c r="S919" s="1319" t="s">
        <v>1267</v>
      </c>
      <c r="T919" s="1320" t="s">
        <v>1268</v>
      </c>
      <c r="U919" s="1699" t="s">
        <v>7</v>
      </c>
      <c r="V919" s="1053">
        <v>2.9129999999999998</v>
      </c>
      <c r="W919" s="921" t="s">
        <v>2</v>
      </c>
      <c r="X919" s="1192">
        <v>48760.972289999998</v>
      </c>
      <c r="Y919" s="719"/>
      <c r="Z919" s="720"/>
      <c r="AA919" s="721"/>
      <c r="AB919" s="722"/>
      <c r="AC919" s="710"/>
      <c r="AD919" s="723"/>
      <c r="AE919" s="118"/>
      <c r="AF919" s="765"/>
      <c r="AG919" s="765"/>
      <c r="AH919" s="765"/>
      <c r="AI919" s="765"/>
      <c r="AJ919" s="765"/>
      <c r="AK919" s="765"/>
      <c r="AL919" s="765"/>
      <c r="AM919" s="765"/>
      <c r="AN919" s="765"/>
      <c r="AO919" s="765"/>
      <c r="AP919" s="782"/>
      <c r="AQ919" s="783"/>
    </row>
    <row r="920" spans="1:43" ht="39.75" customHeight="1" thickBot="1" x14ac:dyDescent="0.3">
      <c r="A920" s="1921"/>
      <c r="B920" s="1922"/>
      <c r="C920" s="1925"/>
      <c r="D920" s="1635"/>
      <c r="E920" s="1926"/>
      <c r="F920" s="1565"/>
      <c r="G920" s="779"/>
      <c r="H920" s="779"/>
      <c r="I920" s="780"/>
      <c r="J920" s="717"/>
      <c r="K920" s="718"/>
      <c r="L920" s="717"/>
      <c r="M920" s="718"/>
      <c r="N920" s="718"/>
      <c r="O920" s="729"/>
      <c r="P920" s="717"/>
      <c r="Q920" s="718"/>
      <c r="R920" s="776"/>
      <c r="S920" s="1922"/>
      <c r="T920" s="1922"/>
      <c r="U920" s="1930"/>
      <c r="V920" s="1080">
        <v>23235.200000000001</v>
      </c>
      <c r="W920" s="922" t="s">
        <v>3</v>
      </c>
      <c r="X920" s="1717"/>
      <c r="Y920" s="719"/>
      <c r="Z920" s="720"/>
      <c r="AA920" s="721"/>
      <c r="AB920" s="722"/>
      <c r="AC920" s="710"/>
      <c r="AD920" s="723"/>
      <c r="AE920" s="118"/>
      <c r="AF920" s="765"/>
      <c r="AG920" s="765"/>
      <c r="AH920" s="765"/>
      <c r="AI920" s="765"/>
      <c r="AJ920" s="765"/>
      <c r="AK920" s="765"/>
      <c r="AL920" s="765"/>
      <c r="AM920" s="765"/>
      <c r="AN920" s="765"/>
      <c r="AO920" s="765"/>
      <c r="AP920" s="782"/>
      <c r="AQ920" s="783"/>
    </row>
    <row r="921" spans="1:43" ht="28.5" customHeight="1" x14ac:dyDescent="0.25">
      <c r="A921" s="1227">
        <v>47</v>
      </c>
      <c r="B921" s="1188">
        <v>1960367</v>
      </c>
      <c r="C921" s="1568" t="s">
        <v>296</v>
      </c>
      <c r="D921" s="1195" t="s">
        <v>563</v>
      </c>
      <c r="E921" s="1570">
        <v>2.46</v>
      </c>
      <c r="F921" s="1584">
        <v>25832</v>
      </c>
      <c r="G921" s="785"/>
      <c r="H921" s="785"/>
      <c r="I921" s="785"/>
      <c r="J921" s="786"/>
      <c r="K921" s="785"/>
      <c r="L921" s="786"/>
      <c r="M921" s="785"/>
      <c r="N921" s="785"/>
      <c r="O921" s="785"/>
      <c r="P921" s="786"/>
      <c r="Q921" s="785"/>
      <c r="R921" s="787"/>
      <c r="S921" s="1188" t="s">
        <v>1031</v>
      </c>
      <c r="T921" s="1188" t="s">
        <v>1269</v>
      </c>
      <c r="U921" s="1188" t="s">
        <v>7</v>
      </c>
      <c r="V921" s="258"/>
      <c r="W921" s="964" t="s">
        <v>2</v>
      </c>
      <c r="X921" s="1687">
        <v>15600</v>
      </c>
      <c r="Y921" s="1188" t="s">
        <v>1031</v>
      </c>
      <c r="Z921" s="1188" t="s">
        <v>1269</v>
      </c>
      <c r="AA921" s="1188" t="s">
        <v>7</v>
      </c>
      <c r="AB921" s="258">
        <v>2.4809999999999999</v>
      </c>
      <c r="AC921" s="964" t="s">
        <v>2</v>
      </c>
      <c r="AD921" s="1687">
        <v>7553.7396799999997</v>
      </c>
      <c r="AE921" s="118"/>
      <c r="AF921" s="765"/>
      <c r="AG921" s="765"/>
      <c r="AH921" s="765"/>
      <c r="AI921" s="765"/>
      <c r="AJ921" s="765"/>
      <c r="AK921" s="765"/>
      <c r="AL921" s="765"/>
      <c r="AM921" s="765"/>
      <c r="AN921" s="765"/>
      <c r="AO921" s="765"/>
      <c r="AP921" s="782"/>
      <c r="AQ921" s="783"/>
    </row>
    <row r="922" spans="1:43" ht="28.5" customHeight="1" thickBot="1" x14ac:dyDescent="0.3">
      <c r="A922" s="1224"/>
      <c r="B922" s="1519"/>
      <c r="C922" s="1593"/>
      <c r="D922" s="1197"/>
      <c r="E922" s="1927"/>
      <c r="F922" s="1585"/>
      <c r="G922" s="788"/>
      <c r="H922" s="788"/>
      <c r="I922" s="788"/>
      <c r="J922" s="789"/>
      <c r="K922" s="788"/>
      <c r="L922" s="789"/>
      <c r="M922" s="788"/>
      <c r="N922" s="788"/>
      <c r="O922" s="788"/>
      <c r="P922" s="789"/>
      <c r="Q922" s="788"/>
      <c r="R922" s="790"/>
      <c r="S922" s="1519"/>
      <c r="T922" s="1519"/>
      <c r="U922" s="1519"/>
      <c r="V922" s="965"/>
      <c r="W922" s="965" t="s">
        <v>4</v>
      </c>
      <c r="X922" s="1933"/>
      <c r="Y922" s="1147"/>
      <c r="Z922" s="1147"/>
      <c r="AA922" s="1147"/>
      <c r="AB922" s="879">
        <v>19798</v>
      </c>
      <c r="AC922" s="879" t="s">
        <v>4</v>
      </c>
      <c r="AD922" s="1688"/>
      <c r="AE922" s="118"/>
      <c r="AF922" s="765"/>
      <c r="AG922" s="765"/>
      <c r="AH922" s="765"/>
      <c r="AI922" s="765"/>
      <c r="AJ922" s="765"/>
      <c r="AK922" s="765"/>
      <c r="AL922" s="765"/>
      <c r="AM922" s="765"/>
      <c r="AN922" s="765"/>
      <c r="AO922" s="765"/>
      <c r="AP922" s="782"/>
      <c r="AQ922" s="783"/>
    </row>
    <row r="923" spans="1:43" ht="28.5" customHeight="1" x14ac:dyDescent="0.25">
      <c r="A923" s="1223">
        <v>48</v>
      </c>
      <c r="B923" s="1147">
        <v>1960031</v>
      </c>
      <c r="C923" s="1568" t="s">
        <v>291</v>
      </c>
      <c r="D923" s="1258" t="s">
        <v>555</v>
      </c>
      <c r="E923" s="1570">
        <v>12.93</v>
      </c>
      <c r="F923" s="1584">
        <v>151973</v>
      </c>
      <c r="G923" s="791"/>
      <c r="H923" s="791"/>
      <c r="I923" s="791"/>
      <c r="J923" s="792"/>
      <c r="K923" s="791"/>
      <c r="L923" s="792"/>
      <c r="M923" s="791"/>
      <c r="N923" s="791"/>
      <c r="O923" s="791"/>
      <c r="P923" s="792"/>
      <c r="Q923" s="791"/>
      <c r="R923" s="793"/>
      <c r="S923" s="1147" t="s">
        <v>1031</v>
      </c>
      <c r="T923" s="1147" t="s">
        <v>1270</v>
      </c>
      <c r="U923" s="1147" t="s">
        <v>7</v>
      </c>
      <c r="V923" s="1091">
        <v>12.114000000000001</v>
      </c>
      <c r="W923" s="1032" t="s">
        <v>2</v>
      </c>
      <c r="X923" s="2065">
        <v>120474.61752</v>
      </c>
      <c r="Y923" s="56"/>
      <c r="Z923" s="56"/>
      <c r="AA923" s="56"/>
      <c r="AB923" s="57"/>
      <c r="AC923" s="876"/>
      <c r="AD923" s="2066"/>
      <c r="AE923" s="118"/>
      <c r="AF923" s="765"/>
      <c r="AG923" s="765"/>
      <c r="AH923" s="765"/>
      <c r="AI923" s="765"/>
      <c r="AJ923" s="765"/>
      <c r="AK923" s="765"/>
      <c r="AL923" s="765"/>
      <c r="AM923" s="765"/>
      <c r="AN923" s="765"/>
      <c r="AO923" s="765"/>
      <c r="AP923" s="782"/>
      <c r="AQ923" s="783"/>
    </row>
    <row r="924" spans="1:43" s="3" customFormat="1" ht="28.5" customHeight="1" thickBot="1" x14ac:dyDescent="0.3">
      <c r="A924" s="1224"/>
      <c r="B924" s="1519"/>
      <c r="C924" s="1593"/>
      <c r="D924" s="1822"/>
      <c r="E924" s="1927"/>
      <c r="F924" s="1585"/>
      <c r="G924" s="418"/>
      <c r="H924" s="418"/>
      <c r="I924" s="418"/>
      <c r="J924" s="794"/>
      <c r="K924" s="418"/>
      <c r="L924" s="794"/>
      <c r="M924" s="418"/>
      <c r="N924" s="418"/>
      <c r="O924" s="418"/>
      <c r="P924" s="794"/>
      <c r="Q924" s="418"/>
      <c r="R924" s="795"/>
      <c r="S924" s="1519"/>
      <c r="T924" s="1519"/>
      <c r="U924" s="1519"/>
      <c r="V924" s="965">
        <v>110013</v>
      </c>
      <c r="W924" s="965" t="s">
        <v>4</v>
      </c>
      <c r="X924" s="2067"/>
      <c r="Y924" s="56"/>
      <c r="Z924" s="56"/>
      <c r="AA924" s="56"/>
      <c r="AB924" s="876"/>
      <c r="AC924" s="876"/>
      <c r="AD924" s="2066"/>
      <c r="AE924" s="314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8"/>
    </row>
    <row r="925" spans="1:43" s="23" customFormat="1" ht="44.25" customHeight="1" thickBot="1" x14ac:dyDescent="0.3">
      <c r="A925" s="61">
        <v>49</v>
      </c>
      <c r="B925" s="898"/>
      <c r="C925" s="996" t="s">
        <v>1204</v>
      </c>
      <c r="D925" s="1038"/>
      <c r="E925" s="12"/>
      <c r="F925" s="62"/>
      <c r="G925" s="1082"/>
      <c r="H925" s="1082"/>
      <c r="I925" s="981"/>
      <c r="J925" s="972"/>
      <c r="K925" s="898"/>
      <c r="L925" s="972"/>
      <c r="M925" s="1046"/>
      <c r="N925" s="1046"/>
      <c r="O925" s="228"/>
      <c r="P925" s="232"/>
      <c r="Q925" s="1046"/>
      <c r="R925" s="972">
        <v>43599.074999999997</v>
      </c>
      <c r="S925" s="858"/>
      <c r="T925" s="858"/>
      <c r="U925" s="858"/>
      <c r="V925" s="868"/>
      <c r="W925" s="858"/>
      <c r="X925" s="869"/>
      <c r="Y925" s="858"/>
      <c r="Z925" s="858"/>
      <c r="AA925" s="858"/>
      <c r="AB925" s="858"/>
      <c r="AC925" s="858"/>
      <c r="AD925" s="858"/>
      <c r="AE925" s="1046"/>
      <c r="AF925" s="1046"/>
      <c r="AG925" s="1046"/>
      <c r="AH925" s="1046"/>
      <c r="AI925" s="1046"/>
      <c r="AJ925" s="1046"/>
      <c r="AK925" s="1046"/>
      <c r="AL925" s="1046"/>
      <c r="AM925" s="1046"/>
      <c r="AN925" s="1046"/>
      <c r="AO925" s="1046"/>
      <c r="AP925" s="426"/>
      <c r="AQ925" s="254"/>
    </row>
    <row r="926" spans="1:43" ht="28.5" customHeight="1" x14ac:dyDescent="0.25">
      <c r="A926" s="1227">
        <v>50</v>
      </c>
      <c r="B926" s="1188">
        <v>1960339</v>
      </c>
      <c r="C926" s="1568" t="s">
        <v>1281</v>
      </c>
      <c r="D926" s="1319" t="s">
        <v>1284</v>
      </c>
      <c r="E926" s="1570">
        <v>2.8039999999999998</v>
      </c>
      <c r="F926" s="1584">
        <f>AB927</f>
        <v>25531.14</v>
      </c>
      <c r="G926" s="785"/>
      <c r="H926" s="785"/>
      <c r="I926" s="785"/>
      <c r="J926" s="786"/>
      <c r="K926" s="785"/>
      <c r="L926" s="786"/>
      <c r="M926" s="785"/>
      <c r="N926" s="785"/>
      <c r="O926" s="785"/>
      <c r="P926" s="786"/>
      <c r="Q926" s="785"/>
      <c r="R926" s="787"/>
      <c r="S926" s="56"/>
      <c r="T926" s="56"/>
      <c r="U926" s="56"/>
      <c r="V926" s="57"/>
      <c r="W926" s="876"/>
      <c r="X926" s="2066"/>
      <c r="Y926" s="1142" t="s">
        <v>1031</v>
      </c>
      <c r="Z926" s="1142" t="s">
        <v>1282</v>
      </c>
      <c r="AA926" s="1142" t="s">
        <v>7</v>
      </c>
      <c r="AB926" s="57">
        <v>2.8039999999999998</v>
      </c>
      <c r="AC926" s="876" t="s">
        <v>2</v>
      </c>
      <c r="AD926" s="2068">
        <v>47914.794099999999</v>
      </c>
      <c r="AE926" s="118"/>
      <c r="AF926" s="765"/>
      <c r="AG926" s="765"/>
      <c r="AH926" s="765"/>
      <c r="AI926" s="765"/>
      <c r="AJ926" s="765"/>
      <c r="AK926" s="765"/>
      <c r="AL926" s="765"/>
      <c r="AM926" s="765"/>
      <c r="AN926" s="765"/>
      <c r="AO926" s="765"/>
      <c r="AP926" s="782"/>
      <c r="AQ926" s="783"/>
    </row>
    <row r="927" spans="1:43" ht="28.5" customHeight="1" thickBot="1" x14ac:dyDescent="0.3">
      <c r="A927" s="1224"/>
      <c r="B927" s="1519"/>
      <c r="C927" s="1593"/>
      <c r="D927" s="1321"/>
      <c r="E927" s="1927"/>
      <c r="F927" s="1585"/>
      <c r="G927" s="788"/>
      <c r="H927" s="788"/>
      <c r="I927" s="788"/>
      <c r="J927" s="789"/>
      <c r="K927" s="788"/>
      <c r="L927" s="789"/>
      <c r="M927" s="788"/>
      <c r="N927" s="788"/>
      <c r="O927" s="788"/>
      <c r="P927" s="789"/>
      <c r="Q927" s="788"/>
      <c r="R927" s="790"/>
      <c r="S927" s="56"/>
      <c r="T927" s="56"/>
      <c r="U927" s="56"/>
      <c r="V927" s="876"/>
      <c r="W927" s="876"/>
      <c r="X927" s="2066"/>
      <c r="Y927" s="1142"/>
      <c r="Z927" s="1142"/>
      <c r="AA927" s="1142"/>
      <c r="AB927" s="876">
        <v>25531.14</v>
      </c>
      <c r="AC927" s="876" t="s">
        <v>4</v>
      </c>
      <c r="AD927" s="2068"/>
      <c r="AE927" s="118"/>
      <c r="AF927" s="765"/>
      <c r="AG927" s="765"/>
      <c r="AH927" s="765"/>
      <c r="AI927" s="765"/>
      <c r="AJ927" s="765"/>
      <c r="AK927" s="765"/>
      <c r="AL927" s="765"/>
      <c r="AM927" s="765"/>
      <c r="AN927" s="765"/>
      <c r="AO927" s="765"/>
      <c r="AP927" s="782"/>
      <c r="AQ927" s="783"/>
    </row>
    <row r="928" spans="1:43" s="23" customFormat="1" ht="30" customHeight="1" x14ac:dyDescent="0.25">
      <c r="A928" s="1227">
        <v>51</v>
      </c>
      <c r="B928" s="1188">
        <v>1960194</v>
      </c>
      <c r="C928" s="1568" t="s">
        <v>1283</v>
      </c>
      <c r="D928" s="1319" t="s">
        <v>739</v>
      </c>
      <c r="E928" s="1570">
        <v>2.2999999999999998</v>
      </c>
      <c r="F928" s="1584">
        <f>V929</f>
        <v>14088</v>
      </c>
      <c r="G928" s="785"/>
      <c r="H928" s="785"/>
      <c r="I928" s="785"/>
      <c r="J928" s="786"/>
      <c r="K928" s="785"/>
      <c r="L928" s="786"/>
      <c r="M928" s="785"/>
      <c r="N928" s="785"/>
      <c r="O928" s="785"/>
      <c r="P928" s="786"/>
      <c r="Q928" s="785"/>
      <c r="R928" s="787"/>
      <c r="S928" s="1142" t="s">
        <v>1031</v>
      </c>
      <c r="T928" s="1142" t="s">
        <v>1069</v>
      </c>
      <c r="U928" s="1142" t="s">
        <v>7</v>
      </c>
      <c r="V928" s="57">
        <v>2.2999999999999998</v>
      </c>
      <c r="W928" s="876" t="s">
        <v>2</v>
      </c>
      <c r="X928" s="2068">
        <v>41373.836000000003</v>
      </c>
      <c r="Y928" s="56"/>
      <c r="Z928" s="56"/>
      <c r="AA928" s="56"/>
      <c r="AB928" s="57"/>
      <c r="AC928" s="876"/>
      <c r="AD928" s="2066"/>
      <c r="AE928" s="1046"/>
      <c r="AF928" s="1046"/>
      <c r="AG928" s="1046"/>
      <c r="AH928" s="1046"/>
      <c r="AI928" s="1046"/>
      <c r="AJ928" s="1046"/>
      <c r="AK928" s="1046"/>
      <c r="AL928" s="1046"/>
      <c r="AM928" s="1046"/>
      <c r="AN928" s="1046"/>
      <c r="AO928" s="1046"/>
      <c r="AP928" s="426"/>
      <c r="AQ928" s="254"/>
    </row>
    <row r="929" spans="1:59" s="23" customFormat="1" ht="30" customHeight="1" thickBot="1" x14ac:dyDescent="0.3">
      <c r="A929" s="1224"/>
      <c r="B929" s="1519"/>
      <c r="C929" s="1593"/>
      <c r="D929" s="1321"/>
      <c r="E929" s="1927"/>
      <c r="F929" s="1585"/>
      <c r="G929" s="788"/>
      <c r="H929" s="788"/>
      <c r="I929" s="788"/>
      <c r="J929" s="789"/>
      <c r="K929" s="788"/>
      <c r="L929" s="789"/>
      <c r="M929" s="788"/>
      <c r="N929" s="788"/>
      <c r="O929" s="788"/>
      <c r="P929" s="789"/>
      <c r="Q929" s="788"/>
      <c r="R929" s="790"/>
      <c r="S929" s="1142"/>
      <c r="T929" s="1142"/>
      <c r="U929" s="1142"/>
      <c r="V929" s="876">
        <v>14088</v>
      </c>
      <c r="W929" s="876" t="s">
        <v>4</v>
      </c>
      <c r="X929" s="2068"/>
      <c r="Y929" s="56"/>
      <c r="Z929" s="56"/>
      <c r="AA929" s="56"/>
      <c r="AB929" s="876"/>
      <c r="AC929" s="876"/>
      <c r="AD929" s="2066"/>
      <c r="AE929" s="1046"/>
      <c r="AF929" s="1046"/>
      <c r="AG929" s="1046"/>
      <c r="AH929" s="1046"/>
      <c r="AI929" s="1046"/>
      <c r="AJ929" s="1046"/>
      <c r="AK929" s="1046"/>
      <c r="AL929" s="1046"/>
      <c r="AM929" s="1046"/>
      <c r="AN929" s="1046"/>
      <c r="AO929" s="1046"/>
      <c r="AP929" s="426"/>
      <c r="AQ929" s="254"/>
    </row>
    <row r="930" spans="1:59" s="48" customFormat="1" ht="19.899999999999999" customHeight="1" x14ac:dyDescent="0.25">
      <c r="A930" s="1142">
        <v>52</v>
      </c>
      <c r="B930" s="1142">
        <v>1960392</v>
      </c>
      <c r="C930" s="1143" t="s">
        <v>101</v>
      </c>
      <c r="D930" s="1144" t="s">
        <v>121</v>
      </c>
      <c r="E930" s="1145">
        <f>12.888+6.807</f>
        <v>19.695</v>
      </c>
      <c r="F930" s="1146">
        <v>124737</v>
      </c>
      <c r="G930" s="421"/>
      <c r="H930" s="421"/>
      <c r="I930" s="259"/>
      <c r="J930" s="928"/>
      <c r="K930" s="876"/>
      <c r="L930" s="928"/>
      <c r="M930" s="56"/>
      <c r="N930" s="56"/>
      <c r="O930" s="206"/>
      <c r="P930" s="914"/>
      <c r="Q930" s="876"/>
      <c r="R930" s="653"/>
      <c r="S930" s="56"/>
      <c r="T930" s="56"/>
      <c r="U930" s="206"/>
      <c r="V930" s="914"/>
      <c r="W930" s="876"/>
      <c r="X930" s="653"/>
      <c r="Y930" s="1142" t="s">
        <v>1041</v>
      </c>
      <c r="Z930" s="1142" t="s">
        <v>1288</v>
      </c>
      <c r="AA930" s="1157" t="s">
        <v>7</v>
      </c>
      <c r="AB930" s="914">
        <v>2.1930000000000001</v>
      </c>
      <c r="AC930" s="876" t="s">
        <v>2</v>
      </c>
      <c r="AD930" s="1247">
        <v>45670.205119999999</v>
      </c>
      <c r="AE930" s="32"/>
      <c r="AF930" s="32"/>
      <c r="AG930" s="32"/>
      <c r="AH930" s="32"/>
      <c r="AI930" s="32"/>
      <c r="AJ930" s="32"/>
      <c r="AK930" s="32"/>
      <c r="AL930" s="32"/>
      <c r="AM930" s="32"/>
      <c r="AN930" s="9"/>
      <c r="AO930" s="9"/>
      <c r="AP930" s="9"/>
      <c r="AQ930" s="22"/>
    </row>
    <row r="931" spans="1:59" s="48" customFormat="1" ht="19.899999999999999" customHeight="1" x14ac:dyDescent="0.25">
      <c r="A931" s="1142"/>
      <c r="B931" s="1142"/>
      <c r="C931" s="1143"/>
      <c r="D931" s="1144"/>
      <c r="E931" s="1145"/>
      <c r="F931" s="1146"/>
      <c r="G931" s="421"/>
      <c r="H931" s="421"/>
      <c r="I931" s="259"/>
      <c r="J931" s="928"/>
      <c r="K931" s="876"/>
      <c r="L931" s="928"/>
      <c r="M931" s="56"/>
      <c r="N931" s="56"/>
      <c r="O931" s="206"/>
      <c r="P931" s="928"/>
      <c r="Q931" s="876"/>
      <c r="R931" s="653"/>
      <c r="S931" s="56"/>
      <c r="T931" s="56"/>
      <c r="U931" s="206"/>
      <c r="V931" s="928"/>
      <c r="W931" s="876"/>
      <c r="X931" s="653"/>
      <c r="Y931" s="1142"/>
      <c r="Z931" s="1142"/>
      <c r="AA931" s="1157"/>
      <c r="AB931" s="928">
        <f>F930/E930*AB930</f>
        <v>13889.222696115767</v>
      </c>
      <c r="AC931" s="876" t="s">
        <v>3</v>
      </c>
      <c r="AD931" s="1247"/>
      <c r="AE931" s="1046"/>
      <c r="AF931" s="1046"/>
      <c r="AG931" s="1046"/>
      <c r="AH931" s="1046"/>
      <c r="AI931" s="1046"/>
      <c r="AJ931" s="1046"/>
      <c r="AK931" s="1046"/>
      <c r="AL931" s="1046"/>
      <c r="AM931" s="1046"/>
      <c r="AN931" s="9"/>
      <c r="AO931" s="9"/>
      <c r="AP931" s="9"/>
      <c r="AQ931" s="22"/>
    </row>
    <row r="932" spans="1:59" s="48" customFormat="1" ht="21.75" customHeight="1" x14ac:dyDescent="0.25">
      <c r="A932" s="1142">
        <v>53</v>
      </c>
      <c r="B932" s="1147">
        <v>1960226</v>
      </c>
      <c r="C932" s="1149" t="s">
        <v>1160</v>
      </c>
      <c r="D932" s="1151" t="s">
        <v>180</v>
      </c>
      <c r="E932" s="1153">
        <v>6.84</v>
      </c>
      <c r="F932" s="1155">
        <v>31171</v>
      </c>
      <c r="G932" s="1085"/>
      <c r="H932" s="1085"/>
      <c r="I932" s="1101"/>
      <c r="J932" s="1035"/>
      <c r="K932" s="1032"/>
      <c r="L932" s="1035"/>
      <c r="M932" s="56"/>
      <c r="N932" s="56"/>
      <c r="O932" s="206"/>
      <c r="P932" s="914"/>
      <c r="Q932" s="876"/>
      <c r="R932" s="653"/>
      <c r="S932" s="56"/>
      <c r="T932" s="56"/>
      <c r="U932" s="206"/>
      <c r="V932" s="914"/>
      <c r="W932" s="876"/>
      <c r="X932" s="653"/>
      <c r="Y932" s="1142" t="s">
        <v>1031</v>
      </c>
      <c r="Z932" s="1142" t="s">
        <v>1285</v>
      </c>
      <c r="AA932" s="1157" t="s">
        <v>7</v>
      </c>
      <c r="AB932" s="1066"/>
      <c r="AC932" s="876" t="s">
        <v>2</v>
      </c>
      <c r="AD932" s="1247">
        <v>46244.130810000002</v>
      </c>
      <c r="AE932" s="1142" t="s">
        <v>1031</v>
      </c>
      <c r="AF932" s="1142" t="s">
        <v>1285</v>
      </c>
      <c r="AG932" s="1157" t="s">
        <v>7</v>
      </c>
      <c r="AH932" s="1066">
        <v>6.84</v>
      </c>
      <c r="AI932" s="876" t="s">
        <v>2</v>
      </c>
      <c r="AJ932" s="1247">
        <f>155349.084-AD932</f>
        <v>109104.95319</v>
      </c>
      <c r="AK932" s="1046"/>
      <c r="AL932" s="1046"/>
      <c r="AM932" s="1046"/>
      <c r="AN932" s="1046"/>
      <c r="AO932" s="1046"/>
      <c r="AP932" s="426"/>
      <c r="AQ932" s="254"/>
    </row>
    <row r="933" spans="1:59" s="48" customFormat="1" ht="21.75" customHeight="1" x14ac:dyDescent="0.25">
      <c r="A933" s="1142"/>
      <c r="B933" s="1148"/>
      <c r="C933" s="1150"/>
      <c r="D933" s="1152"/>
      <c r="E933" s="1154"/>
      <c r="F933" s="1156"/>
      <c r="G933" s="1085"/>
      <c r="H933" s="1085"/>
      <c r="I933" s="1101"/>
      <c r="J933" s="1035"/>
      <c r="K933" s="1032"/>
      <c r="L933" s="1035"/>
      <c r="M933" s="56"/>
      <c r="N933" s="56"/>
      <c r="O933" s="206"/>
      <c r="P933" s="928"/>
      <c r="Q933" s="876"/>
      <c r="R933" s="653"/>
      <c r="S933" s="56"/>
      <c r="T933" s="56"/>
      <c r="U933" s="206"/>
      <c r="V933" s="928"/>
      <c r="W933" s="876"/>
      <c r="X933" s="653"/>
      <c r="Y933" s="1142"/>
      <c r="Z933" s="1142"/>
      <c r="AA933" s="1157"/>
      <c r="AB933" s="1035"/>
      <c r="AC933" s="879" t="s">
        <v>3</v>
      </c>
      <c r="AD933" s="1247"/>
      <c r="AE933" s="1142"/>
      <c r="AF933" s="1142"/>
      <c r="AG933" s="1157"/>
      <c r="AH933" s="1035">
        <f>F932</f>
        <v>31171</v>
      </c>
      <c r="AI933" s="879" t="s">
        <v>3</v>
      </c>
      <c r="AJ933" s="1247"/>
      <c r="AK933" s="1046"/>
      <c r="AL933" s="1046"/>
      <c r="AM933" s="1046"/>
      <c r="AN933" s="1046"/>
      <c r="AO933" s="1046"/>
      <c r="AP933" s="426"/>
      <c r="AQ933" s="254"/>
    </row>
    <row r="934" spans="1:59" s="510" customFormat="1" ht="36.6" customHeight="1" x14ac:dyDescent="0.2">
      <c r="A934" s="1566" t="s">
        <v>1186</v>
      </c>
      <c r="B934" s="1567"/>
      <c r="C934" s="1567"/>
      <c r="D934" s="1567"/>
      <c r="E934" s="40"/>
      <c r="F934" s="340"/>
      <c r="G934" s="341"/>
      <c r="H934" s="341"/>
      <c r="I934" s="342"/>
      <c r="J934" s="40">
        <f>J840+J732+J759+J700+J643+J629+J554+J490+J481+J471+J464+J430+J420+J357+J349+J334+J329+J314+J246+J216+J326+J556+J304+J603+J486</f>
        <v>117.37090999999999</v>
      </c>
      <c r="K934" s="391"/>
      <c r="L934" s="82">
        <f>L843+L842+L840+L759+L734+L732+L700+L666+L643+L631+L629+L603+L556+L554+L490+L492+L493+L486+L481+L471+L464+L430+L420+L357+L349+L334+L331+L329+L326+L316+L314+L304+L248+L246+L222+L218+L216+L632</f>
        <v>1581801.7025900001</v>
      </c>
      <c r="M934" s="36"/>
      <c r="N934" s="36"/>
      <c r="O934" s="342"/>
      <c r="P934" s="140">
        <f>P759+P430+P420+P222+P481+P464+P666+P603+P486+P490+P558+P306+P847+P849+P851+P854+P858+P741+P875+P862+P867+P870+P883+P879++P310</f>
        <v>126.399</v>
      </c>
      <c r="Q934" s="36"/>
      <c r="R934" s="82">
        <f>R759+R481+R464+R432+R430+R422+R420+R222+R666+R603+R486+U431+R490+R558+R306+R925+R847+R849+R851+R854+R858+R741+R867+R870+R875+R862+R224+R308+R492+R668+R764+R856+R860+R864+R877+R225+R309+R423+R433+R493+R560+R669+R853+R857+R861+R865+R878+R866+R226+R227+R228+R229+R765+R897+R895+R893+R891+R887+R883+R879+R885+R886+R881+R882+R310</f>
        <v>1766188.7976000002</v>
      </c>
      <c r="S934" s="36"/>
      <c r="T934" s="36"/>
      <c r="U934" s="36"/>
      <c r="V934" s="40">
        <f>V791+V799+V801+V815+V821+V825+V829+V831+V867+V870+V897+V895+V893+V891+V887+V862+V901+V906++V909+V913+V240+V917+V919+V921+V923+V928</f>
        <v>81.775999999999996</v>
      </c>
      <c r="W934" s="36"/>
      <c r="X934" s="702">
        <f>X464+X481+X759+X847+X867+X870+X875+X862+X872+X873+X874+X900+X899+X897+X895+X893+X891+X890+X889+X887+X901+X906+X909+X913+X869+X911+X912+X915+X916+X240+X917+X919+X921+X923+X312+X928</f>
        <v>1003702.93622</v>
      </c>
      <c r="Y934" s="36"/>
      <c r="Z934" s="36"/>
      <c r="AA934" s="36"/>
      <c r="AB934" s="40">
        <f>AB938</f>
        <v>66.040000000000006</v>
      </c>
      <c r="AC934" s="36"/>
      <c r="AD934" s="82">
        <f>AD464+AD481+AD759+AD847+AD875+AD862+AD897+AD887+AD906+AD901+AD908+AD903+AD904+AD905+AD921+AD923+AD312+AD926+AD930+AD932+7511.92645</f>
        <v>539930.81463000004</v>
      </c>
      <c r="AE934" s="36"/>
      <c r="AF934" s="36"/>
      <c r="AG934" s="36"/>
      <c r="AH934" s="82">
        <f>AH938</f>
        <v>10</v>
      </c>
      <c r="AI934" s="36"/>
      <c r="AJ934" s="82">
        <f>AJ464+AJ481+AJ759+AJ847+AJ875+AJ862+AJ897+AJ887+AJ932+90895.04681+291297.91945</f>
        <v>508907.17329000001</v>
      </c>
      <c r="AK934" s="36"/>
      <c r="AL934" s="36"/>
      <c r="AM934" s="36"/>
      <c r="AN934" s="82">
        <v>0</v>
      </c>
      <c r="AO934" s="36"/>
      <c r="AP934" s="82">
        <f>AP464+AP481+AP759+AP897+AP887+296021.44231</f>
        <v>299718.27171</v>
      </c>
      <c r="AQ934" s="36"/>
      <c r="AR934" s="509"/>
      <c r="AS934" s="509"/>
      <c r="AT934" s="509"/>
      <c r="AU934" s="509"/>
      <c r="AV934" s="509"/>
      <c r="AW934" s="509"/>
      <c r="AX934" s="509"/>
      <c r="AY934" s="509"/>
      <c r="AZ934" s="509"/>
      <c r="BA934" s="509"/>
      <c r="BB934" s="509"/>
      <c r="BC934" s="509"/>
      <c r="BD934" s="509"/>
      <c r="BE934" s="509"/>
      <c r="BF934" s="509"/>
      <c r="BG934" s="509"/>
    </row>
    <row r="935" spans="1:59" s="511" customFormat="1" ht="22.15" customHeight="1" x14ac:dyDescent="0.2">
      <c r="A935" s="343"/>
      <c r="B935" s="344"/>
      <c r="C935" s="344"/>
      <c r="D935" s="344"/>
      <c r="E935" s="345"/>
      <c r="F935" s="346"/>
      <c r="G935" s="1269" t="s">
        <v>1168</v>
      </c>
      <c r="H935" s="1269"/>
      <c r="I935" s="1269"/>
      <c r="J935" s="283"/>
      <c r="K935" s="392"/>
      <c r="L935" s="234"/>
      <c r="M935" s="127"/>
      <c r="N935" s="127"/>
      <c r="O935" s="393"/>
      <c r="P935" s="283"/>
      <c r="Q935" s="127"/>
      <c r="R935" s="539"/>
      <c r="S935" s="486"/>
      <c r="T935" s="127"/>
      <c r="U935" s="348"/>
      <c r="V935" s="74"/>
      <c r="W935" s="127"/>
      <c r="X935" s="234"/>
      <c r="Y935" s="127"/>
      <c r="Z935" s="350"/>
      <c r="AA935" s="348"/>
      <c r="AB935" s="74"/>
      <c r="AC935" s="127"/>
      <c r="AD935" s="256"/>
      <c r="AE935" s="127"/>
      <c r="AF935" s="127"/>
      <c r="AG935" s="348"/>
      <c r="AH935" s="74"/>
      <c r="AI935" s="127"/>
      <c r="AJ935" s="256"/>
      <c r="AK935" s="127"/>
      <c r="AL935" s="127"/>
      <c r="AM935" s="348"/>
      <c r="AN935" s="74"/>
      <c r="AO935" s="127"/>
      <c r="AP935" s="234"/>
      <c r="AQ935" s="127"/>
    </row>
    <row r="936" spans="1:59" s="511" customFormat="1" ht="25.15" customHeight="1" x14ac:dyDescent="0.2">
      <c r="A936" s="343"/>
      <c r="B936" s="344"/>
      <c r="C936" s="344"/>
      <c r="D936" s="344"/>
      <c r="E936" s="345"/>
      <c r="F936" s="346"/>
      <c r="G936" s="1269" t="s">
        <v>1170</v>
      </c>
      <c r="H936" s="1269"/>
      <c r="I936" s="1269"/>
      <c r="J936" s="283"/>
      <c r="K936" s="392"/>
      <c r="L936" s="971">
        <f>L934-L937</f>
        <v>1265674.1075900001</v>
      </c>
      <c r="M936" s="127"/>
      <c r="N936" s="127"/>
      <c r="O936" s="393"/>
      <c r="P936" s="283"/>
      <c r="Q936" s="127"/>
      <c r="R936" s="539"/>
      <c r="S936" s="127"/>
      <c r="T936" s="127"/>
      <c r="U936" s="348"/>
      <c r="V936" s="74"/>
      <c r="W936" s="127"/>
      <c r="X936" s="234"/>
      <c r="Y936" s="127"/>
      <c r="Z936" s="350"/>
      <c r="AA936" s="348"/>
      <c r="AB936" s="74"/>
      <c r="AC936" s="127"/>
      <c r="AD936" s="256"/>
      <c r="AE936" s="127"/>
      <c r="AF936" s="127"/>
      <c r="AG936" s="348"/>
      <c r="AH936" s="74"/>
      <c r="AI936" s="127"/>
      <c r="AJ936" s="256"/>
      <c r="AK936" s="127"/>
      <c r="AL936" s="127"/>
      <c r="AM936" s="348"/>
      <c r="AN936" s="74"/>
      <c r="AO936" s="127"/>
      <c r="AP936" s="234"/>
      <c r="AQ936" s="127"/>
    </row>
    <row r="937" spans="1:59" s="511" customFormat="1" ht="23.85" customHeight="1" thickBot="1" x14ac:dyDescent="0.25">
      <c r="A937" s="343"/>
      <c r="B937" s="344"/>
      <c r="C937" s="344"/>
      <c r="D937" s="344"/>
      <c r="E937" s="345"/>
      <c r="F937" s="346"/>
      <c r="G937" s="1401" t="s">
        <v>1169</v>
      </c>
      <c r="H937" s="1401"/>
      <c r="I937" s="1401"/>
      <c r="J937" s="283"/>
      <c r="K937" s="392"/>
      <c r="L937" s="971">
        <f>L763+L436+L429</f>
        <v>316127.59499999997</v>
      </c>
      <c r="M937" s="127"/>
      <c r="N937" s="127"/>
      <c r="O937" s="393"/>
      <c r="P937" s="283"/>
      <c r="Q937" s="127"/>
      <c r="R937" s="539"/>
      <c r="S937" s="127"/>
      <c r="T937" s="127"/>
      <c r="U937" s="348"/>
      <c r="V937" s="74"/>
      <c r="W937" s="127"/>
      <c r="X937" s="234"/>
      <c r="Y937" s="127"/>
      <c r="Z937" s="350"/>
      <c r="AA937" s="348"/>
      <c r="AB937" s="74"/>
      <c r="AC937" s="127"/>
      <c r="AD937" s="256"/>
      <c r="AE937" s="127"/>
      <c r="AF937" s="127"/>
      <c r="AG937" s="348"/>
      <c r="AH937" s="74"/>
      <c r="AI937" s="127"/>
      <c r="AJ937" s="256"/>
      <c r="AK937" s="127"/>
      <c r="AL937" s="127"/>
      <c r="AM937" s="348"/>
      <c r="AN937" s="74"/>
      <c r="AO937" s="127"/>
      <c r="AP937" s="234"/>
      <c r="AQ937" s="127"/>
    </row>
    <row r="938" spans="1:59" s="7" customFormat="1" ht="19.5" customHeight="1" x14ac:dyDescent="0.25">
      <c r="A938" s="1600" t="s">
        <v>1140</v>
      </c>
      <c r="B938" s="1601"/>
      <c r="C938" s="1601"/>
      <c r="D938" s="1601"/>
      <c r="E938" s="1601"/>
      <c r="F938" s="1601"/>
      <c r="G938" s="1601"/>
      <c r="H938" s="1602"/>
      <c r="I938" s="1451" t="s">
        <v>7</v>
      </c>
      <c r="J938" s="86">
        <f>J840+J759+J732+J700+J643+J629+J556+J554+J490+J481+J471+J464+J420+J430+J357+J349+J334+J329+J314+J304+J246+J216+J603+J486</f>
        <v>116.80399999999997</v>
      </c>
      <c r="K938" s="963" t="s">
        <v>2</v>
      </c>
      <c r="L938" s="1266">
        <f>L840+L759+L732+L700+L643+L629+L556+L554+L490+L481+L471+L464+L357+L349+L334+L329+L314+L304+L246+L216+L666+L603+L486+L420+L430</f>
        <v>1544862.89659</v>
      </c>
      <c r="M938" s="69"/>
      <c r="N938" s="963"/>
      <c r="O938" s="1451" t="s">
        <v>7</v>
      </c>
      <c r="P938" s="86">
        <f>P759+P430+P420+P666+P603+P486+P464+P490+P558+P306+P847+P849+P851+P854+P858+P741+P875+P862+P867+P870+P883+P879+P310</f>
        <v>125.96799999999999</v>
      </c>
      <c r="Q938" s="963" t="s">
        <v>2</v>
      </c>
      <c r="R938" s="1677">
        <f>R420+R430+R556+R629+R700+R732+R759+R666+R603+R486+R464+R481+R490+R849+R851+R847+R306+R558+R854+R858+R741+R867+R870+R875+R862+R897+R895+R893+R891+R887+R883+R879+R310</f>
        <v>1655967.7085399998</v>
      </c>
      <c r="S938" s="963"/>
      <c r="T938" s="963"/>
      <c r="U938" s="1435" t="s">
        <v>7</v>
      </c>
      <c r="V938" s="86">
        <f>V867+V870+V897+V893+V891+V887+V895+V862+V901+V906+V909+V913+V240+V917+V919+V921+V923+V928</f>
        <v>81.775999999999996</v>
      </c>
      <c r="W938" s="963" t="s">
        <v>2</v>
      </c>
      <c r="X938" s="1677">
        <f>X759+X481+X464+X847+X867+X870+X875+X862+X897+X895+X893+X891+X887+X901+X906+X909+X913+X240+X917+X919+X921+X923+X312+X928</f>
        <v>999095.68021999998</v>
      </c>
      <c r="Y938" s="159"/>
      <c r="Z938" s="351"/>
      <c r="AA938" s="1435" t="s">
        <v>7</v>
      </c>
      <c r="AB938" s="86">
        <f>AB901+AB906+AB921+AB923+AB312+AB926+AB930</f>
        <v>66.040000000000006</v>
      </c>
      <c r="AC938" s="963" t="s">
        <v>2</v>
      </c>
      <c r="AD938" s="1677">
        <f>AD759+AD464+AD481+AD847+AD875+AD862+AD897+AD887+AD906+AD901+AD921+AD923+AD312+AD926+AD930+AD932+7511.92645</f>
        <v>534684.19863000012</v>
      </c>
      <c r="AE938" s="963"/>
      <c r="AF938" s="963"/>
      <c r="AG938" s="1435" t="s">
        <v>7</v>
      </c>
      <c r="AH938" s="1012">
        <f>AH932+3.16</f>
        <v>10</v>
      </c>
      <c r="AI938" s="963" t="s">
        <v>2</v>
      </c>
      <c r="AJ938" s="1677">
        <f>AJ759+AJ481+AJ464+AJ847+AJ875+AJ862+AJ897+AJ887+AJ932+90895.04681+291297.91945</f>
        <v>508907.17329000001</v>
      </c>
      <c r="AK938" s="963"/>
      <c r="AL938" s="963"/>
      <c r="AM938" s="1435" t="s">
        <v>7</v>
      </c>
      <c r="AN938" s="1012"/>
      <c r="AO938" s="963" t="s">
        <v>2</v>
      </c>
      <c r="AP938" s="1677">
        <f>AP897+AP887+296021.44231</f>
        <v>299718.27171</v>
      </c>
      <c r="AQ938" s="963"/>
    </row>
    <row r="939" spans="1:59" s="7" customFormat="1" ht="19.5" customHeight="1" x14ac:dyDescent="0.25">
      <c r="A939" s="1603"/>
      <c r="B939" s="1604"/>
      <c r="C939" s="1604"/>
      <c r="D939" s="1604"/>
      <c r="E939" s="1604"/>
      <c r="F939" s="1604"/>
      <c r="G939" s="1604"/>
      <c r="H939" s="1605"/>
      <c r="I939" s="1456"/>
      <c r="J939" s="897">
        <f>J841+J760+J733+J701+J644+J630+J557+J555+J491+J482+J472+J465+J421+J431+J358+J350+J335+J330+J315+J305+J247+J217+J604+J487</f>
        <v>696199.57874999999</v>
      </c>
      <c r="K939" s="892" t="s">
        <v>4</v>
      </c>
      <c r="L939" s="1267"/>
      <c r="M939" s="69"/>
      <c r="N939" s="963"/>
      <c r="O939" s="1452"/>
      <c r="P939" s="1012">
        <f>P760+P431+P421+P667+P604+P487+P465+P491+P559+P307+P848+P850+P852+P855+P859+P742+P876+P863+P868+P871+P884+P880+P311</f>
        <v>814680.82000000007</v>
      </c>
      <c r="Q939" s="963" t="s">
        <v>4</v>
      </c>
      <c r="R939" s="1677"/>
      <c r="S939" s="963"/>
      <c r="T939" s="963"/>
      <c r="U939" s="1437"/>
      <c r="V939" s="1012">
        <f>V868+V871+V898+V894+V892+V888+V896+V863+V902+V907+V910+V914+V241+V918+V920+V922+V924+V929</f>
        <v>566320.24</v>
      </c>
      <c r="W939" s="963" t="s">
        <v>4</v>
      </c>
      <c r="X939" s="1677"/>
      <c r="Y939" s="963"/>
      <c r="Z939" s="963"/>
      <c r="AA939" s="1437"/>
      <c r="AB939" s="1012">
        <f>AB902+AB907+AB922+AB924+AB313+AB927+AB931</f>
        <v>538944.8126961157</v>
      </c>
      <c r="AC939" s="963" t="s">
        <v>4</v>
      </c>
      <c r="AD939" s="1677"/>
      <c r="AE939" s="963"/>
      <c r="AF939" s="963"/>
      <c r="AG939" s="1437"/>
      <c r="AH939" s="1012">
        <f>AH933</f>
        <v>31171</v>
      </c>
      <c r="AI939" s="963" t="s">
        <v>4</v>
      </c>
      <c r="AJ939" s="1677"/>
      <c r="AK939" s="963"/>
      <c r="AL939" s="963"/>
      <c r="AM939" s="1437"/>
      <c r="AN939" s="1012"/>
      <c r="AO939" s="963" t="s">
        <v>4</v>
      </c>
      <c r="AP939" s="1677"/>
      <c r="AQ939" s="963"/>
    </row>
    <row r="940" spans="1:59" s="285" customFormat="1" ht="16.149999999999999" customHeight="1" x14ac:dyDescent="0.25">
      <c r="A940" s="1603"/>
      <c r="B940" s="1604"/>
      <c r="C940" s="1604"/>
      <c r="D940" s="1604"/>
      <c r="E940" s="1604"/>
      <c r="F940" s="1604"/>
      <c r="G940" s="1604"/>
      <c r="H940" s="1605"/>
      <c r="I940" s="1269" t="s">
        <v>1168</v>
      </c>
      <c r="J940" s="1269"/>
      <c r="K940" s="1269"/>
      <c r="L940" s="1061"/>
      <c r="M940" s="97"/>
      <c r="N940" s="887"/>
      <c r="O940" s="1096"/>
      <c r="P940" s="1061"/>
      <c r="Q940" s="887"/>
      <c r="R940" s="352"/>
      <c r="S940" s="887"/>
      <c r="T940" s="887"/>
      <c r="U940" s="1134"/>
      <c r="V940" s="1061"/>
      <c r="W940" s="887"/>
      <c r="X940" s="958"/>
      <c r="Y940" s="887"/>
      <c r="Z940" s="887"/>
      <c r="AA940" s="1134"/>
      <c r="AB940" s="1061"/>
      <c r="AC940" s="887"/>
      <c r="AD940" s="958"/>
      <c r="AE940" s="887"/>
      <c r="AF940" s="887"/>
      <c r="AG940" s="1134"/>
      <c r="AH940" s="1061"/>
      <c r="AI940" s="887"/>
      <c r="AJ940" s="958"/>
      <c r="AK940" s="887"/>
      <c r="AL940" s="887"/>
      <c r="AM940" s="1134"/>
      <c r="AN940" s="1061"/>
      <c r="AO940" s="887"/>
      <c r="AP940" s="958"/>
      <c r="AQ940" s="887"/>
    </row>
    <row r="941" spans="1:59" s="285" customFormat="1" ht="16.149999999999999" customHeight="1" x14ac:dyDescent="0.25">
      <c r="A941" s="1603"/>
      <c r="B941" s="1604"/>
      <c r="C941" s="1604"/>
      <c r="D941" s="1604"/>
      <c r="E941" s="1604"/>
      <c r="F941" s="1604"/>
      <c r="G941" s="1604"/>
      <c r="H941" s="1605"/>
      <c r="I941" s="1269" t="s">
        <v>1170</v>
      </c>
      <c r="J941" s="1269"/>
      <c r="K941" s="1269"/>
      <c r="L941" s="1061">
        <f>L938-L942</f>
        <v>1228735.30159</v>
      </c>
      <c r="M941" s="97"/>
      <c r="N941" s="887"/>
      <c r="O941" s="1096"/>
      <c r="P941" s="1061"/>
      <c r="Q941" s="887"/>
      <c r="R941" s="352"/>
      <c r="S941" s="887"/>
      <c r="T941" s="887"/>
      <c r="U941" s="1134"/>
      <c r="V941" s="1061"/>
      <c r="W941" s="887"/>
      <c r="X941" s="958"/>
      <c r="Y941" s="887"/>
      <c r="Z941" s="887"/>
      <c r="AA941" s="1134"/>
      <c r="AB941" s="1061"/>
      <c r="AC941" s="887"/>
      <c r="AD941" s="958"/>
      <c r="AE941" s="887"/>
      <c r="AF941" s="887"/>
      <c r="AG941" s="1134"/>
      <c r="AH941" s="1061"/>
      <c r="AI941" s="887"/>
      <c r="AJ941" s="958"/>
      <c r="AK941" s="887"/>
      <c r="AL941" s="887"/>
      <c r="AM941" s="1134"/>
      <c r="AN941" s="1061"/>
      <c r="AO941" s="887"/>
      <c r="AP941" s="958"/>
      <c r="AQ941" s="887"/>
    </row>
    <row r="942" spans="1:59" s="285" customFormat="1" ht="16.149999999999999" customHeight="1" x14ac:dyDescent="0.25">
      <c r="A942" s="1603"/>
      <c r="B942" s="1604"/>
      <c r="C942" s="1604"/>
      <c r="D942" s="1604"/>
      <c r="E942" s="1604"/>
      <c r="F942" s="1604"/>
      <c r="G942" s="1604"/>
      <c r="H942" s="1605"/>
      <c r="I942" s="1269" t="s">
        <v>1169</v>
      </c>
      <c r="J942" s="1269"/>
      <c r="K942" s="1269"/>
      <c r="L942" s="1061">
        <f>L937</f>
        <v>316127.59499999997</v>
      </c>
      <c r="M942" s="97"/>
      <c r="N942" s="887"/>
      <c r="O942" s="1096"/>
      <c r="P942" s="1061"/>
      <c r="Q942" s="887"/>
      <c r="R942" s="352"/>
      <c r="S942" s="887"/>
      <c r="T942" s="887"/>
      <c r="U942" s="1134"/>
      <c r="V942" s="1061"/>
      <c r="W942" s="887"/>
      <c r="X942" s="958"/>
      <c r="Y942" s="887"/>
      <c r="Z942" s="887"/>
      <c r="AA942" s="1134"/>
      <c r="AB942" s="1061"/>
      <c r="AC942" s="887"/>
      <c r="AD942" s="958"/>
      <c r="AE942" s="887"/>
      <c r="AF942" s="887"/>
      <c r="AG942" s="1134"/>
      <c r="AH942" s="1061"/>
      <c r="AI942" s="887"/>
      <c r="AJ942" s="958"/>
      <c r="AK942" s="887"/>
      <c r="AL942" s="887"/>
      <c r="AM942" s="1134"/>
      <c r="AN942" s="1061"/>
      <c r="AO942" s="887"/>
      <c r="AP942" s="958"/>
      <c r="AQ942" s="887"/>
    </row>
    <row r="943" spans="1:59" s="7" customFormat="1" ht="14.1" customHeight="1" x14ac:dyDescent="0.25">
      <c r="A943" s="1603"/>
      <c r="B943" s="1604"/>
      <c r="C943" s="1604"/>
      <c r="D943" s="1604"/>
      <c r="E943" s="1604"/>
      <c r="F943" s="1604"/>
      <c r="G943" s="1604"/>
      <c r="H943" s="1605"/>
      <c r="I943" s="1451" t="s">
        <v>29</v>
      </c>
      <c r="J943" s="1012"/>
      <c r="K943" s="963" t="s">
        <v>2</v>
      </c>
      <c r="L943" s="1266"/>
      <c r="M943" s="69"/>
      <c r="N943" s="963"/>
      <c r="O943" s="1451" t="s">
        <v>29</v>
      </c>
      <c r="P943" s="86"/>
      <c r="Q943" s="963" t="s">
        <v>2</v>
      </c>
      <c r="R943" s="1432"/>
      <c r="S943" s="963"/>
      <c r="T943" s="963"/>
      <c r="U943" s="1435" t="s">
        <v>29</v>
      </c>
      <c r="V943" s="1012"/>
      <c r="W943" s="963" t="s">
        <v>2</v>
      </c>
      <c r="X943" s="1266"/>
      <c r="Y943" s="963"/>
      <c r="Z943" s="963"/>
      <c r="AA943" s="1435" t="s">
        <v>29</v>
      </c>
      <c r="AB943" s="1012"/>
      <c r="AC943" s="963" t="s">
        <v>2</v>
      </c>
      <c r="AD943" s="1266"/>
      <c r="AE943" s="963"/>
      <c r="AF943" s="963"/>
      <c r="AG943" s="1435" t="s">
        <v>29</v>
      </c>
      <c r="AH943" s="1012"/>
      <c r="AI943" s="963" t="s">
        <v>2</v>
      </c>
      <c r="AJ943" s="1266"/>
      <c r="AK943" s="963"/>
      <c r="AL943" s="963"/>
      <c r="AM943" s="1435" t="s">
        <v>29</v>
      </c>
      <c r="AN943" s="1012"/>
      <c r="AO943" s="963" t="s">
        <v>2</v>
      </c>
      <c r="AP943" s="1266"/>
      <c r="AQ943" s="963"/>
    </row>
    <row r="944" spans="1:59" s="7" customFormat="1" ht="16.149999999999999" customHeight="1" x14ac:dyDescent="0.25">
      <c r="A944" s="1603"/>
      <c r="B944" s="1604"/>
      <c r="C944" s="1604"/>
      <c r="D944" s="1604"/>
      <c r="E944" s="1604"/>
      <c r="F944" s="1604"/>
      <c r="G944" s="1604"/>
      <c r="H944" s="1605"/>
      <c r="I944" s="1452"/>
      <c r="J944" s="1012"/>
      <c r="K944" s="963" t="s">
        <v>4</v>
      </c>
      <c r="L944" s="1267"/>
      <c r="M944" s="69"/>
      <c r="N944" s="963"/>
      <c r="O944" s="1452"/>
      <c r="P944" s="86"/>
      <c r="Q944" s="963" t="s">
        <v>4</v>
      </c>
      <c r="R944" s="1433"/>
      <c r="S944" s="963"/>
      <c r="T944" s="963"/>
      <c r="U944" s="1437"/>
      <c r="V944" s="1012"/>
      <c r="W944" s="963" t="s">
        <v>4</v>
      </c>
      <c r="X944" s="1267"/>
      <c r="Y944" s="963"/>
      <c r="Z944" s="963"/>
      <c r="AA944" s="1437"/>
      <c r="AB944" s="1012"/>
      <c r="AC944" s="963" t="s">
        <v>4</v>
      </c>
      <c r="AD944" s="1267"/>
      <c r="AE944" s="963"/>
      <c r="AF944" s="963"/>
      <c r="AG944" s="1437"/>
      <c r="AH944" s="1012"/>
      <c r="AI944" s="963" t="s">
        <v>4</v>
      </c>
      <c r="AJ944" s="1267"/>
      <c r="AK944" s="963"/>
      <c r="AL944" s="963"/>
      <c r="AM944" s="1437"/>
      <c r="AN944" s="1012"/>
      <c r="AO944" s="963" t="s">
        <v>4</v>
      </c>
      <c r="AP944" s="1267"/>
      <c r="AQ944" s="963"/>
    </row>
    <row r="945" spans="1:43" s="7" customFormat="1" ht="16.149999999999999" customHeight="1" x14ac:dyDescent="0.25">
      <c r="A945" s="1603"/>
      <c r="B945" s="1604"/>
      <c r="C945" s="1604"/>
      <c r="D945" s="1604"/>
      <c r="E945" s="1604"/>
      <c r="F945" s="1604"/>
      <c r="G945" s="1604"/>
      <c r="H945" s="1605"/>
      <c r="I945" s="1451" t="s">
        <v>30</v>
      </c>
      <c r="J945" s="86">
        <f>J326</f>
        <v>0.56691000000000003</v>
      </c>
      <c r="K945" s="963" t="s">
        <v>2</v>
      </c>
      <c r="L945" s="1266">
        <f>L326+L222</f>
        <v>31412.484</v>
      </c>
      <c r="M945" s="69"/>
      <c r="N945" s="963"/>
      <c r="O945" s="1451" t="s">
        <v>30</v>
      </c>
      <c r="P945" s="86">
        <f>P222</f>
        <v>0.43099999999999999</v>
      </c>
      <c r="Q945" s="963" t="s">
        <v>2</v>
      </c>
      <c r="R945" s="1432">
        <f>R222</f>
        <v>45559.892550000011</v>
      </c>
      <c r="S945" s="963"/>
      <c r="T945" s="963"/>
      <c r="U945" s="1435" t="s">
        <v>30</v>
      </c>
      <c r="V945" s="1012"/>
      <c r="W945" s="963" t="s">
        <v>2</v>
      </c>
      <c r="X945" s="1266"/>
      <c r="Y945" s="963"/>
      <c r="Z945" s="963"/>
      <c r="AA945" s="1435" t="s">
        <v>30</v>
      </c>
      <c r="AB945" s="1012"/>
      <c r="AC945" s="963" t="s">
        <v>2</v>
      </c>
      <c r="AD945" s="1266"/>
      <c r="AE945" s="963"/>
      <c r="AF945" s="963"/>
      <c r="AG945" s="1435" t="s">
        <v>30</v>
      </c>
      <c r="AH945" s="1012"/>
      <c r="AI945" s="963" t="s">
        <v>2</v>
      </c>
      <c r="AJ945" s="1266"/>
      <c r="AK945" s="963"/>
      <c r="AL945" s="963"/>
      <c r="AM945" s="1435" t="s">
        <v>30</v>
      </c>
      <c r="AN945" s="1012"/>
      <c r="AO945" s="963" t="s">
        <v>2</v>
      </c>
      <c r="AP945" s="1266"/>
      <c r="AQ945" s="963"/>
    </row>
    <row r="946" spans="1:43" s="7" customFormat="1" ht="16.149999999999999" customHeight="1" x14ac:dyDescent="0.25">
      <c r="A946" s="1603"/>
      <c r="B946" s="1604"/>
      <c r="C946" s="1604"/>
      <c r="D946" s="1604"/>
      <c r="E946" s="1604"/>
      <c r="F946" s="1604"/>
      <c r="G946" s="1604"/>
      <c r="H946" s="1605"/>
      <c r="I946" s="1452"/>
      <c r="J946" s="1012">
        <f>J327</f>
        <v>5254</v>
      </c>
      <c r="K946" s="963" t="s">
        <v>4</v>
      </c>
      <c r="L946" s="1268"/>
      <c r="M946" s="69"/>
      <c r="N946" s="963"/>
      <c r="O946" s="1452"/>
      <c r="P946" s="1012">
        <f>P223</f>
        <v>5714.66</v>
      </c>
      <c r="Q946" s="963" t="s">
        <v>4</v>
      </c>
      <c r="R946" s="1465"/>
      <c r="S946" s="963"/>
      <c r="T946" s="963"/>
      <c r="U946" s="1437"/>
      <c r="V946" s="1012"/>
      <c r="W946" s="963" t="s">
        <v>4</v>
      </c>
      <c r="X946" s="1268"/>
      <c r="Y946" s="963"/>
      <c r="Z946" s="963"/>
      <c r="AA946" s="1437"/>
      <c r="AB946" s="1012"/>
      <c r="AC946" s="963" t="s">
        <v>4</v>
      </c>
      <c r="AD946" s="1268"/>
      <c r="AE946" s="963"/>
      <c r="AF946" s="963"/>
      <c r="AG946" s="1437"/>
      <c r="AH946" s="1012"/>
      <c r="AI946" s="963" t="s">
        <v>4</v>
      </c>
      <c r="AJ946" s="1268"/>
      <c r="AK946" s="963"/>
      <c r="AL946" s="963"/>
      <c r="AM946" s="1437"/>
      <c r="AN946" s="1012"/>
      <c r="AO946" s="963" t="s">
        <v>4</v>
      </c>
      <c r="AP946" s="1268"/>
      <c r="AQ946" s="963"/>
    </row>
    <row r="947" spans="1:43" s="7" customFormat="1" ht="16.149999999999999" customHeight="1" x14ac:dyDescent="0.25">
      <c r="A947" s="1603"/>
      <c r="B947" s="1604"/>
      <c r="C947" s="1604"/>
      <c r="D947" s="1604"/>
      <c r="E947" s="1604"/>
      <c r="F947" s="1604"/>
      <c r="G947" s="1604"/>
      <c r="H947" s="1605"/>
      <c r="I947" s="1451" t="s">
        <v>31</v>
      </c>
      <c r="J947" s="1012"/>
      <c r="K947" s="963" t="s">
        <v>2</v>
      </c>
      <c r="L947" s="1266"/>
      <c r="M947" s="69"/>
      <c r="N947" s="963"/>
      <c r="O947" s="1451" t="s">
        <v>31</v>
      </c>
      <c r="P947" s="1012"/>
      <c r="Q947" s="963" t="s">
        <v>2</v>
      </c>
      <c r="R947" s="1432"/>
      <c r="S947" s="963"/>
      <c r="T947" s="963"/>
      <c r="U947" s="1435" t="s">
        <v>31</v>
      </c>
      <c r="V947" s="1012"/>
      <c r="W947" s="963" t="s">
        <v>2</v>
      </c>
      <c r="X947" s="1266"/>
      <c r="Y947" s="963"/>
      <c r="Z947" s="963"/>
      <c r="AA947" s="1435" t="s">
        <v>31</v>
      </c>
      <c r="AB947" s="1012"/>
      <c r="AC947" s="963" t="s">
        <v>2</v>
      </c>
      <c r="AD947" s="1266"/>
      <c r="AE947" s="963"/>
      <c r="AF947" s="963"/>
      <c r="AG947" s="1435" t="s">
        <v>31</v>
      </c>
      <c r="AH947" s="1012"/>
      <c r="AI947" s="963" t="s">
        <v>2</v>
      </c>
      <c r="AJ947" s="1266"/>
      <c r="AK947" s="963"/>
      <c r="AL947" s="963"/>
      <c r="AM947" s="1435" t="s">
        <v>31</v>
      </c>
      <c r="AN947" s="1012"/>
      <c r="AO947" s="963" t="s">
        <v>2</v>
      </c>
      <c r="AP947" s="1266"/>
      <c r="AQ947" s="963"/>
    </row>
    <row r="948" spans="1:43" s="7" customFormat="1" ht="16.149999999999999" customHeight="1" x14ac:dyDescent="0.25">
      <c r="A948" s="1603"/>
      <c r="B948" s="1604"/>
      <c r="C948" s="1604"/>
      <c r="D948" s="1604"/>
      <c r="E948" s="1604"/>
      <c r="F948" s="1604"/>
      <c r="G948" s="1604"/>
      <c r="H948" s="1605"/>
      <c r="I948" s="1452"/>
      <c r="J948" s="1012"/>
      <c r="K948" s="963" t="s">
        <v>4</v>
      </c>
      <c r="L948" s="1267"/>
      <c r="M948" s="69"/>
      <c r="N948" s="963"/>
      <c r="O948" s="1452"/>
      <c r="P948" s="1012"/>
      <c r="Q948" s="963" t="s">
        <v>4</v>
      </c>
      <c r="R948" s="1433"/>
      <c r="S948" s="963"/>
      <c r="T948" s="963"/>
      <c r="U948" s="1437"/>
      <c r="V948" s="1012"/>
      <c r="W948" s="963" t="s">
        <v>4</v>
      </c>
      <c r="X948" s="1267"/>
      <c r="Y948" s="963"/>
      <c r="Z948" s="963"/>
      <c r="AA948" s="1437"/>
      <c r="AB948" s="1012"/>
      <c r="AC948" s="963" t="s">
        <v>4</v>
      </c>
      <c r="AD948" s="1267"/>
      <c r="AE948" s="963"/>
      <c r="AF948" s="963"/>
      <c r="AG948" s="1437"/>
      <c r="AH948" s="1012"/>
      <c r="AI948" s="963" t="s">
        <v>4</v>
      </c>
      <c r="AJ948" s="1267"/>
      <c r="AK948" s="963"/>
      <c r="AL948" s="963"/>
      <c r="AM948" s="1437"/>
      <c r="AN948" s="1012"/>
      <c r="AO948" s="963" t="s">
        <v>4</v>
      </c>
      <c r="AP948" s="1267"/>
      <c r="AQ948" s="963"/>
    </row>
    <row r="949" spans="1:43" s="7" customFormat="1" ht="16.149999999999999" customHeight="1" x14ac:dyDescent="0.25">
      <c r="A949" s="1603"/>
      <c r="B949" s="1604"/>
      <c r="C949" s="1604"/>
      <c r="D949" s="1604"/>
      <c r="E949" s="1604"/>
      <c r="F949" s="1604"/>
      <c r="G949" s="1604"/>
      <c r="H949" s="1605"/>
      <c r="I949" s="1451" t="s">
        <v>1126</v>
      </c>
      <c r="J949" s="1012"/>
      <c r="K949" s="963" t="s">
        <v>1132</v>
      </c>
      <c r="L949" s="1266"/>
      <c r="M949" s="69"/>
      <c r="N949" s="963"/>
      <c r="O949" s="1451" t="s">
        <v>1126</v>
      </c>
      <c r="P949" s="1012"/>
      <c r="Q949" s="963" t="s">
        <v>1132</v>
      </c>
      <c r="R949" s="1432"/>
      <c r="S949" s="963"/>
      <c r="T949" s="963"/>
      <c r="U949" s="1435" t="s">
        <v>1126</v>
      </c>
      <c r="V949" s="1012"/>
      <c r="W949" s="963" t="s">
        <v>1132</v>
      </c>
      <c r="X949" s="1266"/>
      <c r="Y949" s="963"/>
      <c r="Z949" s="963"/>
      <c r="AA949" s="1435" t="s">
        <v>1126</v>
      </c>
      <c r="AB949" s="1012"/>
      <c r="AC949" s="963" t="s">
        <v>1132</v>
      </c>
      <c r="AD949" s="1266"/>
      <c r="AE949" s="963"/>
      <c r="AF949" s="963"/>
      <c r="AG949" s="1435" t="s">
        <v>1126</v>
      </c>
      <c r="AH949" s="1012"/>
      <c r="AI949" s="963" t="s">
        <v>1132</v>
      </c>
      <c r="AJ949" s="1266"/>
      <c r="AK949" s="963"/>
      <c r="AL949" s="963"/>
      <c r="AM949" s="1435" t="s">
        <v>1126</v>
      </c>
      <c r="AN949" s="1012"/>
      <c r="AO949" s="963" t="s">
        <v>1132</v>
      </c>
      <c r="AP949" s="1266"/>
      <c r="AQ949" s="963"/>
    </row>
    <row r="950" spans="1:43" s="7" customFormat="1" ht="14.1" customHeight="1" x14ac:dyDescent="0.25">
      <c r="A950" s="1603"/>
      <c r="B950" s="1604"/>
      <c r="C950" s="1604"/>
      <c r="D950" s="1604"/>
      <c r="E950" s="1604"/>
      <c r="F950" s="1604"/>
      <c r="G950" s="1604"/>
      <c r="H950" s="1605"/>
      <c r="I950" s="1456"/>
      <c r="J950" s="1012"/>
      <c r="K950" s="963" t="s">
        <v>2</v>
      </c>
      <c r="L950" s="1267"/>
      <c r="M950" s="69"/>
      <c r="N950" s="963"/>
      <c r="O950" s="1456"/>
      <c r="P950" s="1012"/>
      <c r="Q950" s="963" t="s">
        <v>2</v>
      </c>
      <c r="R950" s="1433"/>
      <c r="S950" s="963"/>
      <c r="T950" s="963"/>
      <c r="U950" s="1436"/>
      <c r="V950" s="1012"/>
      <c r="W950" s="963" t="s">
        <v>2</v>
      </c>
      <c r="X950" s="1267"/>
      <c r="Y950" s="963"/>
      <c r="Z950" s="963"/>
      <c r="AA950" s="1436"/>
      <c r="AB950" s="1012"/>
      <c r="AC950" s="963" t="s">
        <v>2</v>
      </c>
      <c r="AD950" s="1267"/>
      <c r="AE950" s="963"/>
      <c r="AF950" s="963"/>
      <c r="AG950" s="1436"/>
      <c r="AH950" s="1012"/>
      <c r="AI950" s="963" t="s">
        <v>2</v>
      </c>
      <c r="AJ950" s="1267"/>
      <c r="AK950" s="963"/>
      <c r="AL950" s="963"/>
      <c r="AM950" s="1436"/>
      <c r="AN950" s="1012"/>
      <c r="AO950" s="963" t="s">
        <v>2</v>
      </c>
      <c r="AP950" s="1267"/>
      <c r="AQ950" s="963"/>
    </row>
    <row r="951" spans="1:43" s="7" customFormat="1" ht="16.149999999999999" customHeight="1" x14ac:dyDescent="0.25">
      <c r="A951" s="1603"/>
      <c r="B951" s="1604"/>
      <c r="C951" s="1604"/>
      <c r="D951" s="1604"/>
      <c r="E951" s="1604"/>
      <c r="F951" s="1604"/>
      <c r="G951" s="1604"/>
      <c r="H951" s="1605"/>
      <c r="I951" s="1452"/>
      <c r="J951" s="1012"/>
      <c r="K951" s="963" t="s">
        <v>4</v>
      </c>
      <c r="L951" s="1268"/>
      <c r="M951" s="69"/>
      <c r="N951" s="963"/>
      <c r="O951" s="1452"/>
      <c r="P951" s="1012"/>
      <c r="Q951" s="963" t="s">
        <v>4</v>
      </c>
      <c r="R951" s="1465"/>
      <c r="S951" s="963"/>
      <c r="T951" s="963"/>
      <c r="U951" s="1437"/>
      <c r="V951" s="1012"/>
      <c r="W951" s="963" t="s">
        <v>4</v>
      </c>
      <c r="X951" s="1268"/>
      <c r="Y951" s="963"/>
      <c r="Z951" s="963"/>
      <c r="AA951" s="1437"/>
      <c r="AB951" s="1012"/>
      <c r="AC951" s="963" t="s">
        <v>4</v>
      </c>
      <c r="AD951" s="1268"/>
      <c r="AE951" s="963"/>
      <c r="AF951" s="963"/>
      <c r="AG951" s="1437"/>
      <c r="AH951" s="1012"/>
      <c r="AI951" s="963" t="s">
        <v>4</v>
      </c>
      <c r="AJ951" s="1268"/>
      <c r="AK951" s="963"/>
      <c r="AL951" s="963"/>
      <c r="AM951" s="1437"/>
      <c r="AN951" s="1012"/>
      <c r="AO951" s="963" t="s">
        <v>4</v>
      </c>
      <c r="AP951" s="1268"/>
      <c r="AQ951" s="963"/>
    </row>
    <row r="952" spans="1:43" s="7" customFormat="1" ht="16.149999999999999" customHeight="1" x14ac:dyDescent="0.25">
      <c r="A952" s="1603"/>
      <c r="B952" s="1604"/>
      <c r="C952" s="1604"/>
      <c r="D952" s="1604"/>
      <c r="E952" s="1604"/>
      <c r="F952" s="1604"/>
      <c r="G952" s="1604"/>
      <c r="H952" s="1605"/>
      <c r="I952" s="1451" t="s">
        <v>1125</v>
      </c>
      <c r="J952" s="1012"/>
      <c r="K952" s="963" t="s">
        <v>1132</v>
      </c>
      <c r="L952" s="1266"/>
      <c r="M952" s="69"/>
      <c r="N952" s="963"/>
      <c r="O952" s="1451" t="s">
        <v>1125</v>
      </c>
      <c r="P952" s="1012"/>
      <c r="Q952" s="963" t="s">
        <v>1132</v>
      </c>
      <c r="R952" s="1432"/>
      <c r="S952" s="963"/>
      <c r="T952" s="963"/>
      <c r="U952" s="1435" t="s">
        <v>1125</v>
      </c>
      <c r="V952" s="1012"/>
      <c r="W952" s="963" t="s">
        <v>1132</v>
      </c>
      <c r="X952" s="1266"/>
      <c r="Y952" s="963"/>
      <c r="Z952" s="963"/>
      <c r="AA952" s="1435" t="s">
        <v>1125</v>
      </c>
      <c r="AB952" s="1012"/>
      <c r="AC952" s="963" t="s">
        <v>1132</v>
      </c>
      <c r="AD952" s="1266"/>
      <c r="AE952" s="963"/>
      <c r="AF952" s="963"/>
      <c r="AG952" s="1435" t="s">
        <v>1125</v>
      </c>
      <c r="AH952" s="1012"/>
      <c r="AI952" s="963" t="s">
        <v>1132</v>
      </c>
      <c r="AJ952" s="1266"/>
      <c r="AK952" s="963"/>
      <c r="AL952" s="963"/>
      <c r="AM952" s="1435" t="s">
        <v>1125</v>
      </c>
      <c r="AN952" s="1012"/>
      <c r="AO952" s="963" t="s">
        <v>1132</v>
      </c>
      <c r="AP952" s="1266"/>
      <c r="AQ952" s="963"/>
    </row>
    <row r="953" spans="1:43" s="7" customFormat="1" ht="14.1" customHeight="1" x14ac:dyDescent="0.25">
      <c r="A953" s="1603"/>
      <c r="B953" s="1604"/>
      <c r="C953" s="1604"/>
      <c r="D953" s="1604"/>
      <c r="E953" s="1604"/>
      <c r="F953" s="1604"/>
      <c r="G953" s="1604"/>
      <c r="H953" s="1605"/>
      <c r="I953" s="1456"/>
      <c r="J953" s="1012"/>
      <c r="K953" s="963" t="s">
        <v>2</v>
      </c>
      <c r="L953" s="1267"/>
      <c r="M953" s="69"/>
      <c r="N953" s="963"/>
      <c r="O953" s="1456"/>
      <c r="P953" s="1012"/>
      <c r="Q953" s="963" t="s">
        <v>2</v>
      </c>
      <c r="R953" s="1433"/>
      <c r="S953" s="963"/>
      <c r="T953" s="963"/>
      <c r="U953" s="1436"/>
      <c r="V953" s="1012"/>
      <c r="W953" s="963" t="s">
        <v>2</v>
      </c>
      <c r="X953" s="1267"/>
      <c r="Y953" s="963"/>
      <c r="Z953" s="963"/>
      <c r="AA953" s="1436"/>
      <c r="AB953" s="1012"/>
      <c r="AC953" s="963" t="s">
        <v>2</v>
      </c>
      <c r="AD953" s="1267"/>
      <c r="AE953" s="963"/>
      <c r="AF953" s="963"/>
      <c r="AG953" s="1436"/>
      <c r="AH953" s="1012"/>
      <c r="AI953" s="963" t="s">
        <v>2</v>
      </c>
      <c r="AJ953" s="1267"/>
      <c r="AK953" s="963"/>
      <c r="AL953" s="963"/>
      <c r="AM953" s="1436"/>
      <c r="AN953" s="1012"/>
      <c r="AO953" s="963" t="s">
        <v>2</v>
      </c>
      <c r="AP953" s="1267"/>
      <c r="AQ953" s="963"/>
    </row>
    <row r="954" spans="1:43" s="7" customFormat="1" ht="16.149999999999999" customHeight="1" x14ac:dyDescent="0.25">
      <c r="A954" s="1603"/>
      <c r="B954" s="1604"/>
      <c r="C954" s="1604"/>
      <c r="D954" s="1604"/>
      <c r="E954" s="1604"/>
      <c r="F954" s="1604"/>
      <c r="G954" s="1604"/>
      <c r="H954" s="1605"/>
      <c r="I954" s="1452"/>
      <c r="J954" s="1012"/>
      <c r="K954" s="963" t="s">
        <v>4</v>
      </c>
      <c r="L954" s="1268"/>
      <c r="M954" s="69"/>
      <c r="N954" s="963"/>
      <c r="O954" s="1452"/>
      <c r="P954" s="1012"/>
      <c r="Q954" s="963" t="s">
        <v>4</v>
      </c>
      <c r="R954" s="1465"/>
      <c r="S954" s="963"/>
      <c r="T954" s="963"/>
      <c r="U954" s="1437"/>
      <c r="V954" s="1012"/>
      <c r="W954" s="963" t="s">
        <v>4</v>
      </c>
      <c r="X954" s="1268"/>
      <c r="Y954" s="963"/>
      <c r="Z954" s="963"/>
      <c r="AA954" s="1437"/>
      <c r="AB954" s="1012"/>
      <c r="AC954" s="963" t="s">
        <v>4</v>
      </c>
      <c r="AD954" s="1268"/>
      <c r="AE954" s="963"/>
      <c r="AF954" s="963"/>
      <c r="AG954" s="1437"/>
      <c r="AH954" s="1012"/>
      <c r="AI954" s="963" t="s">
        <v>4</v>
      </c>
      <c r="AJ954" s="1268"/>
      <c r="AK954" s="963"/>
      <c r="AL954" s="963"/>
      <c r="AM954" s="1437"/>
      <c r="AN954" s="1012"/>
      <c r="AO954" s="963" t="s">
        <v>4</v>
      </c>
      <c r="AP954" s="1268"/>
      <c r="AQ954" s="963"/>
    </row>
    <row r="955" spans="1:43" s="7" customFormat="1" ht="16.149999999999999" customHeight="1" x14ac:dyDescent="0.25">
      <c r="A955" s="1603"/>
      <c r="B955" s="1604"/>
      <c r="C955" s="1604"/>
      <c r="D955" s="1604"/>
      <c r="E955" s="1604"/>
      <c r="F955" s="1604"/>
      <c r="G955" s="1604"/>
      <c r="H955" s="1605"/>
      <c r="I955" s="1451" t="s">
        <v>1127</v>
      </c>
      <c r="J955" s="1012"/>
      <c r="K955" s="963" t="s">
        <v>1132</v>
      </c>
      <c r="L955" s="1266"/>
      <c r="M955" s="69"/>
      <c r="N955" s="963"/>
      <c r="O955" s="1451" t="s">
        <v>1127</v>
      </c>
      <c r="P955" s="1012"/>
      <c r="Q955" s="963" t="s">
        <v>1132</v>
      </c>
      <c r="R955" s="1432"/>
      <c r="S955" s="963"/>
      <c r="T955" s="963"/>
      <c r="U955" s="1435" t="s">
        <v>1127</v>
      </c>
      <c r="V955" s="1012"/>
      <c r="W955" s="963" t="s">
        <v>1132</v>
      </c>
      <c r="X955" s="1266"/>
      <c r="Y955" s="963"/>
      <c r="Z955" s="963"/>
      <c r="AA955" s="1435" t="s">
        <v>1127</v>
      </c>
      <c r="AB955" s="1012"/>
      <c r="AC955" s="963" t="s">
        <v>1132</v>
      </c>
      <c r="AD955" s="1266"/>
      <c r="AE955" s="963"/>
      <c r="AF955" s="963"/>
      <c r="AG955" s="1435" t="s">
        <v>1127</v>
      </c>
      <c r="AH955" s="1012"/>
      <c r="AI955" s="963" t="s">
        <v>1132</v>
      </c>
      <c r="AJ955" s="1266"/>
      <c r="AK955" s="963"/>
      <c r="AL955" s="963"/>
      <c r="AM955" s="1435" t="s">
        <v>1127</v>
      </c>
      <c r="AN955" s="1012"/>
      <c r="AO955" s="963" t="s">
        <v>1132</v>
      </c>
      <c r="AP955" s="1266"/>
      <c r="AQ955" s="963"/>
    </row>
    <row r="956" spans="1:43" s="7" customFormat="1" ht="14.1" customHeight="1" x14ac:dyDescent="0.25">
      <c r="A956" s="1603"/>
      <c r="B956" s="1604"/>
      <c r="C956" s="1604"/>
      <c r="D956" s="1604"/>
      <c r="E956" s="1604"/>
      <c r="F956" s="1604"/>
      <c r="G956" s="1604"/>
      <c r="H956" s="1605"/>
      <c r="I956" s="1456"/>
      <c r="J956" s="1012"/>
      <c r="K956" s="963" t="s">
        <v>2</v>
      </c>
      <c r="L956" s="1267"/>
      <c r="M956" s="69"/>
      <c r="N956" s="963"/>
      <c r="O956" s="1456"/>
      <c r="P956" s="1012"/>
      <c r="Q956" s="963" t="s">
        <v>2</v>
      </c>
      <c r="R956" s="1433"/>
      <c r="S956" s="963"/>
      <c r="T956" s="963"/>
      <c r="U956" s="1436"/>
      <c r="V956" s="1012"/>
      <c r="W956" s="963" t="s">
        <v>2</v>
      </c>
      <c r="X956" s="1267"/>
      <c r="Y956" s="963"/>
      <c r="Z956" s="963"/>
      <c r="AA956" s="1436"/>
      <c r="AB956" s="1012"/>
      <c r="AC956" s="963" t="s">
        <v>2</v>
      </c>
      <c r="AD956" s="1267"/>
      <c r="AE956" s="963"/>
      <c r="AF956" s="963"/>
      <c r="AG956" s="1436"/>
      <c r="AH956" s="1012"/>
      <c r="AI956" s="963" t="s">
        <v>2</v>
      </c>
      <c r="AJ956" s="1267"/>
      <c r="AK956" s="963"/>
      <c r="AL956" s="963"/>
      <c r="AM956" s="1436"/>
      <c r="AN956" s="1012"/>
      <c r="AO956" s="963" t="s">
        <v>2</v>
      </c>
      <c r="AP956" s="1267"/>
      <c r="AQ956" s="963"/>
    </row>
    <row r="957" spans="1:43" s="7" customFormat="1" ht="16.149999999999999" customHeight="1" x14ac:dyDescent="0.25">
      <c r="A957" s="1603"/>
      <c r="B957" s="1604"/>
      <c r="C957" s="1604"/>
      <c r="D957" s="1604"/>
      <c r="E957" s="1604"/>
      <c r="F957" s="1604"/>
      <c r="G957" s="1604"/>
      <c r="H957" s="1605"/>
      <c r="I957" s="1452"/>
      <c r="J957" s="1012"/>
      <c r="K957" s="963" t="s">
        <v>4</v>
      </c>
      <c r="L957" s="1268"/>
      <c r="M957" s="69"/>
      <c r="N957" s="963"/>
      <c r="O957" s="1452"/>
      <c r="P957" s="1012"/>
      <c r="Q957" s="963" t="s">
        <v>4</v>
      </c>
      <c r="R957" s="1465"/>
      <c r="S957" s="963"/>
      <c r="T957" s="963"/>
      <c r="U957" s="1437"/>
      <c r="V957" s="1012"/>
      <c r="W957" s="963" t="s">
        <v>4</v>
      </c>
      <c r="X957" s="1268"/>
      <c r="Y957" s="963"/>
      <c r="Z957" s="963"/>
      <c r="AA957" s="1437"/>
      <c r="AB957" s="1012"/>
      <c r="AC957" s="963" t="s">
        <v>4</v>
      </c>
      <c r="AD957" s="1268"/>
      <c r="AE957" s="963"/>
      <c r="AF957" s="963"/>
      <c r="AG957" s="1437"/>
      <c r="AH957" s="1012"/>
      <c r="AI957" s="963" t="s">
        <v>4</v>
      </c>
      <c r="AJ957" s="1268"/>
      <c r="AK957" s="963"/>
      <c r="AL957" s="963"/>
      <c r="AM957" s="1437"/>
      <c r="AN957" s="1012"/>
      <c r="AO957" s="963" t="s">
        <v>4</v>
      </c>
      <c r="AP957" s="1268"/>
      <c r="AQ957" s="963"/>
    </row>
    <row r="958" spans="1:43" s="7" customFormat="1" ht="16.149999999999999" customHeight="1" x14ac:dyDescent="0.25">
      <c r="A958" s="1603"/>
      <c r="B958" s="1604"/>
      <c r="C958" s="1604"/>
      <c r="D958" s="1604"/>
      <c r="E958" s="1604"/>
      <c r="F958" s="1604"/>
      <c r="G958" s="1604"/>
      <c r="H958" s="1605"/>
      <c r="I958" s="1451" t="s">
        <v>1128</v>
      </c>
      <c r="J958" s="1012"/>
      <c r="K958" s="963" t="s">
        <v>1132</v>
      </c>
      <c r="L958" s="1266"/>
      <c r="M958" s="69"/>
      <c r="N958" s="963"/>
      <c r="O958" s="1451" t="s">
        <v>1128</v>
      </c>
      <c r="P958" s="1012"/>
      <c r="Q958" s="963" t="s">
        <v>1132</v>
      </c>
      <c r="R958" s="1432"/>
      <c r="S958" s="963"/>
      <c r="T958" s="963"/>
      <c r="U958" s="1435" t="s">
        <v>1128</v>
      </c>
      <c r="V958" s="1012"/>
      <c r="W958" s="963" t="s">
        <v>1132</v>
      </c>
      <c r="X958" s="1266"/>
      <c r="Y958" s="963"/>
      <c r="Z958" s="963"/>
      <c r="AA958" s="1435" t="s">
        <v>1128</v>
      </c>
      <c r="AB958" s="1012"/>
      <c r="AC958" s="963" t="s">
        <v>1132</v>
      </c>
      <c r="AD958" s="1266"/>
      <c r="AE958" s="963"/>
      <c r="AF958" s="963"/>
      <c r="AG958" s="1435" t="s">
        <v>1128</v>
      </c>
      <c r="AH958" s="1012"/>
      <c r="AI958" s="963" t="s">
        <v>1132</v>
      </c>
      <c r="AJ958" s="1266"/>
      <c r="AK958" s="963"/>
      <c r="AL958" s="963"/>
      <c r="AM958" s="1435" t="s">
        <v>1128</v>
      </c>
      <c r="AN958" s="1012"/>
      <c r="AO958" s="963" t="s">
        <v>1132</v>
      </c>
      <c r="AP958" s="1266"/>
      <c r="AQ958" s="963"/>
    </row>
    <row r="959" spans="1:43" s="7" customFormat="1" ht="14.1" customHeight="1" x14ac:dyDescent="0.25">
      <c r="A959" s="1603"/>
      <c r="B959" s="1604"/>
      <c r="C959" s="1604"/>
      <c r="D959" s="1604"/>
      <c r="E959" s="1604"/>
      <c r="F959" s="1604"/>
      <c r="G959" s="1604"/>
      <c r="H959" s="1605"/>
      <c r="I959" s="1456"/>
      <c r="J959" s="1012"/>
      <c r="K959" s="963" t="s">
        <v>2</v>
      </c>
      <c r="L959" s="1267"/>
      <c r="M959" s="69"/>
      <c r="N959" s="963"/>
      <c r="O959" s="1456"/>
      <c r="P959" s="1012"/>
      <c r="Q959" s="963" t="s">
        <v>2</v>
      </c>
      <c r="R959" s="1433"/>
      <c r="S959" s="963"/>
      <c r="T959" s="963"/>
      <c r="U959" s="1436"/>
      <c r="V959" s="1012"/>
      <c r="W959" s="963" t="s">
        <v>2</v>
      </c>
      <c r="X959" s="1267"/>
      <c r="Y959" s="963"/>
      <c r="Z959" s="963"/>
      <c r="AA959" s="1436"/>
      <c r="AB959" s="1012"/>
      <c r="AC959" s="963" t="s">
        <v>2</v>
      </c>
      <c r="AD959" s="1267"/>
      <c r="AE959" s="963"/>
      <c r="AF959" s="963"/>
      <c r="AG959" s="1436"/>
      <c r="AH959" s="1012"/>
      <c r="AI959" s="963" t="s">
        <v>2</v>
      </c>
      <c r="AJ959" s="1267"/>
      <c r="AK959" s="963"/>
      <c r="AL959" s="963"/>
      <c r="AM959" s="1436"/>
      <c r="AN959" s="1012"/>
      <c r="AO959" s="963" t="s">
        <v>2</v>
      </c>
      <c r="AP959" s="1267"/>
      <c r="AQ959" s="963"/>
    </row>
    <row r="960" spans="1:43" s="7" customFormat="1" ht="16.149999999999999" customHeight="1" x14ac:dyDescent="0.25">
      <c r="A960" s="1603"/>
      <c r="B960" s="1604"/>
      <c r="C960" s="1604"/>
      <c r="D960" s="1604"/>
      <c r="E960" s="1604"/>
      <c r="F960" s="1604"/>
      <c r="G960" s="1604"/>
      <c r="H960" s="1605"/>
      <c r="I960" s="1452"/>
      <c r="J960" s="1012"/>
      <c r="K960" s="963" t="s">
        <v>4</v>
      </c>
      <c r="L960" s="1268"/>
      <c r="M960" s="69"/>
      <c r="N960" s="963"/>
      <c r="O960" s="1452"/>
      <c r="P960" s="1012"/>
      <c r="Q960" s="963" t="s">
        <v>4</v>
      </c>
      <c r="R960" s="1465"/>
      <c r="S960" s="963"/>
      <c r="T960" s="963"/>
      <c r="U960" s="1437"/>
      <c r="V960" s="1012"/>
      <c r="W960" s="963" t="s">
        <v>4</v>
      </c>
      <c r="X960" s="1268"/>
      <c r="Y960" s="963"/>
      <c r="Z960" s="963"/>
      <c r="AA960" s="1437"/>
      <c r="AB960" s="1012"/>
      <c r="AC960" s="963" t="s">
        <v>4</v>
      </c>
      <c r="AD960" s="1268"/>
      <c r="AE960" s="963"/>
      <c r="AF960" s="963"/>
      <c r="AG960" s="1437"/>
      <c r="AH960" s="1012"/>
      <c r="AI960" s="963" t="s">
        <v>4</v>
      </c>
      <c r="AJ960" s="1268"/>
      <c r="AK960" s="963"/>
      <c r="AL960" s="963"/>
      <c r="AM960" s="1437"/>
      <c r="AN960" s="1012"/>
      <c r="AO960" s="963" t="s">
        <v>4</v>
      </c>
      <c r="AP960" s="1268"/>
      <c r="AQ960" s="963"/>
    </row>
    <row r="961" spans="1:43" s="7" customFormat="1" ht="40.15" customHeight="1" x14ac:dyDescent="0.25">
      <c r="A961" s="1603"/>
      <c r="B961" s="1604"/>
      <c r="C961" s="1604"/>
      <c r="D961" s="1604"/>
      <c r="E961" s="1604"/>
      <c r="F961" s="1604"/>
      <c r="G961" s="1604"/>
      <c r="H961" s="1605"/>
      <c r="I961" s="959" t="s">
        <v>1147</v>
      </c>
      <c r="J961" s="1012">
        <f>J842+J734+J631+J492+J432+J422+J331+J316+J248+J218</f>
        <v>102.10480000000001</v>
      </c>
      <c r="K961" s="963" t="s">
        <v>2</v>
      </c>
      <c r="L961" s="1012">
        <f>L842+L734+L631+L492+L432+L422+L331+L316+L248+L218</f>
        <v>2550.5819999999999</v>
      </c>
      <c r="M961" s="69"/>
      <c r="N961" s="963"/>
      <c r="O961" s="959" t="s">
        <v>1146</v>
      </c>
      <c r="P961" s="1012">
        <f>P422+P432+P492+P224+P308+P668+P764+P860+P864+P877+P856</f>
        <v>177.63829999999996</v>
      </c>
      <c r="Q961" s="963" t="s">
        <v>2</v>
      </c>
      <c r="R961" s="1012">
        <f>R422+R432+R492+R224+R308+R668+R764+R860+R864+R877+R856+R881+R885+R312</f>
        <v>7884.1245099999987</v>
      </c>
      <c r="S961" s="963"/>
      <c r="T961" s="963"/>
      <c r="U961" s="956" t="s">
        <v>8</v>
      </c>
      <c r="V961" s="1012">
        <f>V872+V899+V889+V903+V908+V911+V915</f>
        <v>50.616</v>
      </c>
      <c r="W961" s="963" t="s">
        <v>2</v>
      </c>
      <c r="X961" s="1012">
        <f>X872+X899+X889+X911+X915</f>
        <v>716.48599999999999</v>
      </c>
      <c r="Y961" s="963"/>
      <c r="Z961" s="963"/>
      <c r="AA961" s="956" t="s">
        <v>8</v>
      </c>
      <c r="AB961" s="1012">
        <f>AB903+AB908</f>
        <v>133.2704</v>
      </c>
      <c r="AC961" s="963" t="s">
        <v>2</v>
      </c>
      <c r="AD961" s="1012">
        <f>AD903+AD908</f>
        <v>2061.4459999999999</v>
      </c>
      <c r="AE961" s="963"/>
      <c r="AF961" s="963"/>
      <c r="AG961" s="956" t="s">
        <v>8</v>
      </c>
      <c r="AH961" s="1012"/>
      <c r="AI961" s="963" t="s">
        <v>2</v>
      </c>
      <c r="AJ961" s="124"/>
      <c r="AK961" s="963"/>
      <c r="AL961" s="963"/>
      <c r="AM961" s="956" t="s">
        <v>8</v>
      </c>
      <c r="AN961" s="1012"/>
      <c r="AO961" s="963" t="s">
        <v>2</v>
      </c>
      <c r="AP961" s="124"/>
      <c r="AQ961" s="963"/>
    </row>
    <row r="962" spans="1:43" s="7" customFormat="1" ht="63" x14ac:dyDescent="0.25">
      <c r="A962" s="1603"/>
      <c r="B962" s="1604"/>
      <c r="C962" s="1604"/>
      <c r="D962" s="1604"/>
      <c r="E962" s="1604"/>
      <c r="F962" s="1604"/>
      <c r="G962" s="1604"/>
      <c r="H962" s="1605"/>
      <c r="I962" s="121" t="s">
        <v>1148</v>
      </c>
      <c r="J962" s="54">
        <f>J328</f>
        <v>1</v>
      </c>
      <c r="K962" s="963" t="s">
        <v>10</v>
      </c>
      <c r="L962" s="1012"/>
      <c r="M962" s="69"/>
      <c r="N962" s="963"/>
      <c r="O962" s="121" t="s">
        <v>9</v>
      </c>
      <c r="P962" s="1012">
        <f>P228</f>
        <v>6</v>
      </c>
      <c r="Q962" s="963" t="s">
        <v>10</v>
      </c>
      <c r="R962" s="1012">
        <f>R228</f>
        <v>197.376</v>
      </c>
      <c r="S962" s="963"/>
      <c r="T962" s="963"/>
      <c r="U962" s="52" t="s">
        <v>9</v>
      </c>
      <c r="V962" s="1012"/>
      <c r="W962" s="963" t="s">
        <v>10</v>
      </c>
      <c r="X962" s="1012"/>
      <c r="Y962" s="963"/>
      <c r="Z962" s="963"/>
      <c r="AA962" s="52" t="s">
        <v>9</v>
      </c>
      <c r="AB962" s="1012"/>
      <c r="AC962" s="963" t="s">
        <v>10</v>
      </c>
      <c r="AD962" s="1012"/>
      <c r="AE962" s="963"/>
      <c r="AF962" s="963"/>
      <c r="AG962" s="52" t="s">
        <v>9</v>
      </c>
      <c r="AH962" s="1012"/>
      <c r="AI962" s="963" t="s">
        <v>10</v>
      </c>
      <c r="AJ962" s="1012"/>
      <c r="AK962" s="963"/>
      <c r="AL962" s="963"/>
      <c r="AM962" s="52" t="s">
        <v>9</v>
      </c>
      <c r="AN962" s="1012"/>
      <c r="AO962" s="963" t="s">
        <v>10</v>
      </c>
      <c r="AP962" s="1012"/>
      <c r="AQ962" s="963"/>
    </row>
    <row r="963" spans="1:43" s="7" customFormat="1" ht="34.700000000000003" customHeight="1" x14ac:dyDescent="0.25">
      <c r="A963" s="1603"/>
      <c r="B963" s="1604"/>
      <c r="C963" s="1604"/>
      <c r="D963" s="1604"/>
      <c r="E963" s="1604"/>
      <c r="F963" s="1604"/>
      <c r="G963" s="1604"/>
      <c r="H963" s="1605"/>
      <c r="I963" s="121" t="s">
        <v>1149</v>
      </c>
      <c r="J963" s="54">
        <f>J843+J493</f>
        <v>185</v>
      </c>
      <c r="K963" s="963" t="s">
        <v>10</v>
      </c>
      <c r="L963" s="54">
        <f>L843+L493+L632</f>
        <v>2975.74</v>
      </c>
      <c r="M963" s="69"/>
      <c r="N963" s="963"/>
      <c r="O963" s="121" t="s">
        <v>32</v>
      </c>
      <c r="P963" s="1012">
        <f>P493+P309+P423+P433+P560+P669+P853+P857+P861+P865+P878+P225++P882+P886</f>
        <v>984</v>
      </c>
      <c r="Q963" s="963" t="s">
        <v>10</v>
      </c>
      <c r="R963" s="1012">
        <f>R493+R309+R423+R433+R560+R669+R853+R857+R861+R865+R878+R225+R886+R882</f>
        <v>6815.2649999999994</v>
      </c>
      <c r="S963" s="963"/>
      <c r="T963" s="963"/>
      <c r="U963" s="52" t="s">
        <v>32</v>
      </c>
      <c r="V963" s="1012">
        <f>V873+V900+V890+V912+V916</f>
        <v>389</v>
      </c>
      <c r="W963" s="963" t="s">
        <v>10</v>
      </c>
      <c r="X963" s="1012">
        <f>X873+X900+X890+X878+X912+X916</f>
        <v>2429.527</v>
      </c>
      <c r="Y963" s="963"/>
      <c r="Z963" s="963"/>
      <c r="AA963" s="52" t="s">
        <v>32</v>
      </c>
      <c r="AB963" s="1012">
        <f>AB904</f>
        <v>372</v>
      </c>
      <c r="AC963" s="963" t="s">
        <v>10</v>
      </c>
      <c r="AD963" s="1012">
        <f>AD904</f>
        <v>2555.924</v>
      </c>
      <c r="AE963" s="963"/>
      <c r="AF963" s="963"/>
      <c r="AG963" s="52" t="s">
        <v>32</v>
      </c>
      <c r="AH963" s="1012"/>
      <c r="AI963" s="963" t="s">
        <v>10</v>
      </c>
      <c r="AJ963" s="124"/>
      <c r="AK963" s="963"/>
      <c r="AL963" s="963"/>
      <c r="AM963" s="52" t="s">
        <v>32</v>
      </c>
      <c r="AN963" s="1012"/>
      <c r="AO963" s="963" t="s">
        <v>10</v>
      </c>
      <c r="AP963" s="124"/>
      <c r="AQ963" s="963"/>
    </row>
    <row r="964" spans="1:43" s="7" customFormat="1" ht="30.2" customHeight="1" x14ac:dyDescent="0.25">
      <c r="A964" s="1603"/>
      <c r="B964" s="1604"/>
      <c r="C964" s="1604"/>
      <c r="D964" s="1604"/>
      <c r="E964" s="1604"/>
      <c r="F964" s="1604"/>
      <c r="G964" s="1604"/>
      <c r="H964" s="1605"/>
      <c r="I964" s="121" t="s">
        <v>1129</v>
      </c>
      <c r="J964" s="1012"/>
      <c r="K964" s="963" t="s">
        <v>1132</v>
      </c>
      <c r="L964" s="124"/>
      <c r="M964" s="69"/>
      <c r="N964" s="963"/>
      <c r="O964" s="121" t="s">
        <v>1129</v>
      </c>
      <c r="P964" s="1012">
        <f>P226+P765</f>
        <v>770</v>
      </c>
      <c r="Q964" s="963" t="s">
        <v>1132</v>
      </c>
      <c r="R964" s="1012">
        <f>R226+R765</f>
        <v>2887.5309999999999</v>
      </c>
      <c r="S964" s="963"/>
      <c r="T964" s="963"/>
      <c r="U964" s="52" t="s">
        <v>1129</v>
      </c>
      <c r="V964" s="1012">
        <f>V874+V869</f>
        <v>741</v>
      </c>
      <c r="W964" s="963" t="s">
        <v>1132</v>
      </c>
      <c r="X964" s="1012">
        <f>X874+X869</f>
        <v>1461.2429999999999</v>
      </c>
      <c r="Y964" s="963"/>
      <c r="Z964" s="963"/>
      <c r="AA964" s="52" t="s">
        <v>1129</v>
      </c>
      <c r="AB964" s="1012">
        <f>AB905</f>
        <v>204</v>
      </c>
      <c r="AC964" s="963" t="s">
        <v>1132</v>
      </c>
      <c r="AD964" s="1012">
        <f>AD905</f>
        <v>629.24599999999998</v>
      </c>
      <c r="AE964" s="963"/>
      <c r="AF964" s="963"/>
      <c r="AG964" s="52" t="s">
        <v>1129</v>
      </c>
      <c r="AH964" s="1012"/>
      <c r="AI964" s="963" t="s">
        <v>1132</v>
      </c>
      <c r="AJ964" s="124"/>
      <c r="AK964" s="963"/>
      <c r="AL964" s="963"/>
      <c r="AM964" s="52" t="s">
        <v>1129</v>
      </c>
      <c r="AN964" s="1012"/>
      <c r="AO964" s="963" t="s">
        <v>1132</v>
      </c>
      <c r="AP964" s="124"/>
      <c r="AQ964" s="963"/>
    </row>
    <row r="965" spans="1:43" s="7" customFormat="1" ht="19.899999999999999" customHeight="1" x14ac:dyDescent="0.25">
      <c r="A965" s="1603"/>
      <c r="B965" s="1604"/>
      <c r="C965" s="1604"/>
      <c r="D965" s="1604"/>
      <c r="E965" s="1604"/>
      <c r="F965" s="1604"/>
      <c r="G965" s="1604"/>
      <c r="H965" s="1605"/>
      <c r="I965" s="121" t="s">
        <v>11</v>
      </c>
      <c r="J965" s="1012"/>
      <c r="K965" s="963" t="s">
        <v>4</v>
      </c>
      <c r="L965" s="124"/>
      <c r="M965" s="69"/>
      <c r="N965" s="963"/>
      <c r="O965" s="121" t="s">
        <v>11</v>
      </c>
      <c r="P965" s="1012"/>
      <c r="Q965" s="963" t="s">
        <v>4</v>
      </c>
      <c r="R965" s="353"/>
      <c r="S965" s="963"/>
      <c r="T965" s="963"/>
      <c r="U965" s="52" t="s">
        <v>11</v>
      </c>
      <c r="V965" s="1012"/>
      <c r="W965" s="963" t="s">
        <v>4</v>
      </c>
      <c r="X965" s="124"/>
      <c r="Y965" s="963"/>
      <c r="Z965" s="963"/>
      <c r="AA965" s="52" t="s">
        <v>11</v>
      </c>
      <c r="AB965" s="1012"/>
      <c r="AC965" s="963" t="s">
        <v>4</v>
      </c>
      <c r="AD965" s="124"/>
      <c r="AE965" s="963"/>
      <c r="AF965" s="963"/>
      <c r="AG965" s="52" t="s">
        <v>11</v>
      </c>
      <c r="AH965" s="1012"/>
      <c r="AI965" s="963" t="s">
        <v>4</v>
      </c>
      <c r="AJ965" s="124"/>
      <c r="AK965" s="963"/>
      <c r="AL965" s="963"/>
      <c r="AM965" s="52" t="s">
        <v>11</v>
      </c>
      <c r="AN965" s="1012"/>
      <c r="AO965" s="963" t="s">
        <v>4</v>
      </c>
      <c r="AP965" s="124"/>
      <c r="AQ965" s="963"/>
    </row>
    <row r="966" spans="1:43" s="7" customFormat="1" ht="19.899999999999999" customHeight="1" x14ac:dyDescent="0.25">
      <c r="A966" s="1603"/>
      <c r="B966" s="1604"/>
      <c r="C966" s="1604"/>
      <c r="D966" s="1604"/>
      <c r="E966" s="1604"/>
      <c r="F966" s="1604"/>
      <c r="G966" s="1604"/>
      <c r="H966" s="1605"/>
      <c r="I966" s="121" t="s">
        <v>1130</v>
      </c>
      <c r="J966" s="1012"/>
      <c r="K966" s="963" t="s">
        <v>1132</v>
      </c>
      <c r="L966" s="124"/>
      <c r="M966" s="69"/>
      <c r="N966" s="963"/>
      <c r="O966" s="121" t="s">
        <v>1130</v>
      </c>
      <c r="P966" s="1012">
        <f>P229</f>
        <v>711</v>
      </c>
      <c r="Q966" s="963" t="s">
        <v>1132</v>
      </c>
      <c r="R966" s="1012">
        <f>R229</f>
        <v>1079.45</v>
      </c>
      <c r="S966" s="963"/>
      <c r="T966" s="963"/>
      <c r="U966" s="52" t="s">
        <v>1130</v>
      </c>
      <c r="V966" s="1012"/>
      <c r="W966" s="963" t="s">
        <v>1132</v>
      </c>
      <c r="X966" s="124"/>
      <c r="Y966" s="963"/>
      <c r="Z966" s="963"/>
      <c r="AA966" s="52" t="s">
        <v>1130</v>
      </c>
      <c r="AB966" s="1012"/>
      <c r="AC966" s="963" t="s">
        <v>1132</v>
      </c>
      <c r="AD966" s="124"/>
      <c r="AE966" s="963"/>
      <c r="AF966" s="963"/>
      <c r="AG966" s="52" t="s">
        <v>1130</v>
      </c>
      <c r="AH966" s="1012"/>
      <c r="AI966" s="963" t="s">
        <v>1132</v>
      </c>
      <c r="AJ966" s="124"/>
      <c r="AK966" s="963"/>
      <c r="AL966" s="963"/>
      <c r="AM966" s="52" t="s">
        <v>1130</v>
      </c>
      <c r="AN966" s="1012"/>
      <c r="AO966" s="963" t="s">
        <v>1132</v>
      </c>
      <c r="AP966" s="124"/>
      <c r="AQ966" s="963"/>
    </row>
    <row r="967" spans="1:43" s="7" customFormat="1" ht="31.15" customHeight="1" x14ac:dyDescent="0.25">
      <c r="A967" s="1603"/>
      <c r="B967" s="1604"/>
      <c r="C967" s="1604"/>
      <c r="D967" s="1604"/>
      <c r="E967" s="1604"/>
      <c r="F967" s="1604"/>
      <c r="G967" s="1604"/>
      <c r="H967" s="1605"/>
      <c r="I967" s="121" t="s">
        <v>33</v>
      </c>
      <c r="J967" s="1012"/>
      <c r="K967" s="963" t="s">
        <v>1132</v>
      </c>
      <c r="L967" s="124"/>
      <c r="M967" s="69"/>
      <c r="N967" s="963"/>
      <c r="O967" s="121" t="s">
        <v>33</v>
      </c>
      <c r="P967" s="1012"/>
      <c r="Q967" s="963" t="s">
        <v>1132</v>
      </c>
      <c r="R967" s="353"/>
      <c r="S967" s="963"/>
      <c r="T967" s="963"/>
      <c r="U967" s="52" t="s">
        <v>33</v>
      </c>
      <c r="V967" s="1012"/>
      <c r="W967" s="963" t="s">
        <v>1132</v>
      </c>
      <c r="X967" s="124"/>
      <c r="Y967" s="963"/>
      <c r="Z967" s="963"/>
      <c r="AA967" s="52" t="s">
        <v>33</v>
      </c>
      <c r="AB967" s="1012"/>
      <c r="AC967" s="963" t="s">
        <v>1132</v>
      </c>
      <c r="AD967" s="124"/>
      <c r="AE967" s="963"/>
      <c r="AF967" s="963"/>
      <c r="AG967" s="52" t="s">
        <v>33</v>
      </c>
      <c r="AH967" s="1012"/>
      <c r="AI967" s="963" t="s">
        <v>1132</v>
      </c>
      <c r="AJ967" s="124"/>
      <c r="AK967" s="963"/>
      <c r="AL967" s="963"/>
      <c r="AM967" s="52" t="s">
        <v>33</v>
      </c>
      <c r="AN967" s="1012"/>
      <c r="AO967" s="963" t="s">
        <v>1132</v>
      </c>
      <c r="AP967" s="124"/>
      <c r="AQ967" s="963"/>
    </row>
    <row r="968" spans="1:43" s="7" customFormat="1" ht="19.899999999999999" customHeight="1" x14ac:dyDescent="0.25">
      <c r="A968" s="1603"/>
      <c r="B968" s="1604"/>
      <c r="C968" s="1604"/>
      <c r="D968" s="1604"/>
      <c r="E968" s="1604"/>
      <c r="F968" s="1604"/>
      <c r="G968" s="1604"/>
      <c r="H968" s="1605"/>
      <c r="I968" s="121" t="s">
        <v>1073</v>
      </c>
      <c r="J968" s="1012"/>
      <c r="K968" s="963" t="s">
        <v>4</v>
      </c>
      <c r="L968" s="124"/>
      <c r="M968" s="69"/>
      <c r="N968" s="963"/>
      <c r="O968" s="121" t="s">
        <v>1073</v>
      </c>
      <c r="P968" s="1012"/>
      <c r="Q968" s="963" t="s">
        <v>4</v>
      </c>
      <c r="R968" s="353"/>
      <c r="S968" s="963"/>
      <c r="T968" s="963"/>
      <c r="U968" s="52" t="s">
        <v>1073</v>
      </c>
      <c r="V968" s="1012"/>
      <c r="W968" s="963" t="s">
        <v>4</v>
      </c>
      <c r="X968" s="124"/>
      <c r="Y968" s="963"/>
      <c r="Z968" s="963"/>
      <c r="AA968" s="52" t="s">
        <v>1073</v>
      </c>
      <c r="AB968" s="1012"/>
      <c r="AC968" s="963" t="s">
        <v>4</v>
      </c>
      <c r="AD968" s="124"/>
      <c r="AE968" s="963"/>
      <c r="AF968" s="963"/>
      <c r="AG968" s="52" t="s">
        <v>1073</v>
      </c>
      <c r="AH968" s="1012"/>
      <c r="AI968" s="963" t="s">
        <v>4</v>
      </c>
      <c r="AJ968" s="124"/>
      <c r="AK968" s="963"/>
      <c r="AL968" s="963"/>
      <c r="AM968" s="52" t="s">
        <v>1073</v>
      </c>
      <c r="AN968" s="1012"/>
      <c r="AO968" s="963" t="s">
        <v>4</v>
      </c>
      <c r="AP968" s="124"/>
      <c r="AQ968" s="963"/>
    </row>
    <row r="969" spans="1:43" s="7" customFormat="1" ht="32.85" customHeight="1" x14ac:dyDescent="0.25">
      <c r="A969" s="1603"/>
      <c r="B969" s="1604"/>
      <c r="C969" s="1604"/>
      <c r="D969" s="1604"/>
      <c r="E969" s="1604"/>
      <c r="F969" s="1604"/>
      <c r="G969" s="1604"/>
      <c r="H969" s="1605"/>
      <c r="I969" s="121" t="s">
        <v>1074</v>
      </c>
      <c r="J969" s="1012"/>
      <c r="K969" s="963" t="s">
        <v>4</v>
      </c>
      <c r="L969" s="124"/>
      <c r="M969" s="69"/>
      <c r="N969" s="963"/>
      <c r="O969" s="121" t="s">
        <v>1074</v>
      </c>
      <c r="P969" s="1012"/>
      <c r="Q969" s="963" t="s">
        <v>4</v>
      </c>
      <c r="R969" s="353"/>
      <c r="S969" s="963"/>
      <c r="T969" s="963"/>
      <c r="U969" s="52" t="s">
        <v>1074</v>
      </c>
      <c r="V969" s="1012"/>
      <c r="W969" s="963" t="s">
        <v>4</v>
      </c>
      <c r="X969" s="124"/>
      <c r="Y969" s="963"/>
      <c r="Z969" s="963"/>
      <c r="AA969" s="52" t="s">
        <v>1074</v>
      </c>
      <c r="AB969" s="1012"/>
      <c r="AC969" s="963" t="s">
        <v>4</v>
      </c>
      <c r="AD969" s="124"/>
      <c r="AE969" s="963"/>
      <c r="AF969" s="963"/>
      <c r="AG969" s="52" t="s">
        <v>1074</v>
      </c>
      <c r="AH969" s="1012"/>
      <c r="AI969" s="963" t="s">
        <v>4</v>
      </c>
      <c r="AJ969" s="124"/>
      <c r="AK969" s="963"/>
      <c r="AL969" s="963"/>
      <c r="AM969" s="52" t="s">
        <v>1074</v>
      </c>
      <c r="AN969" s="1012"/>
      <c r="AO969" s="963" t="s">
        <v>4</v>
      </c>
      <c r="AP969" s="124"/>
      <c r="AQ969" s="963"/>
    </row>
    <row r="970" spans="1:43" s="7" customFormat="1" ht="32.85" customHeight="1" x14ac:dyDescent="0.25">
      <c r="A970" s="1603"/>
      <c r="B970" s="1604"/>
      <c r="C970" s="1604"/>
      <c r="D970" s="1604"/>
      <c r="E970" s="1604"/>
      <c r="F970" s="1604"/>
      <c r="G970" s="1604"/>
      <c r="H970" s="1605"/>
      <c r="I970" s="121" t="s">
        <v>1075</v>
      </c>
      <c r="J970" s="1012"/>
      <c r="K970" s="963" t="s">
        <v>4</v>
      </c>
      <c r="L970" s="124"/>
      <c r="M970" s="69"/>
      <c r="N970" s="963"/>
      <c r="O970" s="121" t="s">
        <v>1075</v>
      </c>
      <c r="P970" s="1012"/>
      <c r="Q970" s="963" t="s">
        <v>4</v>
      </c>
      <c r="R970" s="353"/>
      <c r="S970" s="963"/>
      <c r="T970" s="963"/>
      <c r="U970" s="52" t="s">
        <v>1075</v>
      </c>
      <c r="V970" s="1012"/>
      <c r="W970" s="963" t="s">
        <v>4</v>
      </c>
      <c r="X970" s="124"/>
      <c r="Y970" s="963"/>
      <c r="Z970" s="963"/>
      <c r="AA970" s="52" t="s">
        <v>1075</v>
      </c>
      <c r="AB970" s="1012"/>
      <c r="AC970" s="963" t="s">
        <v>4</v>
      </c>
      <c r="AD970" s="124"/>
      <c r="AE970" s="963"/>
      <c r="AF970" s="963"/>
      <c r="AG970" s="52" t="s">
        <v>1075</v>
      </c>
      <c r="AH970" s="1012"/>
      <c r="AI970" s="963" t="s">
        <v>4</v>
      </c>
      <c r="AJ970" s="124"/>
      <c r="AK970" s="963"/>
      <c r="AL970" s="963"/>
      <c r="AM970" s="52" t="s">
        <v>1075</v>
      </c>
      <c r="AN970" s="1012"/>
      <c r="AO970" s="963" t="s">
        <v>4</v>
      </c>
      <c r="AP970" s="124"/>
      <c r="AQ970" s="963"/>
    </row>
    <row r="971" spans="1:43" s="7" customFormat="1" ht="29.65" customHeight="1" x14ac:dyDescent="0.25">
      <c r="A971" s="1603"/>
      <c r="B971" s="1604"/>
      <c r="C971" s="1604"/>
      <c r="D971" s="1604"/>
      <c r="E971" s="1604"/>
      <c r="F971" s="1604"/>
      <c r="G971" s="1604"/>
      <c r="H971" s="1605"/>
      <c r="I971" s="121" t="s">
        <v>1076</v>
      </c>
      <c r="J971" s="1012"/>
      <c r="K971" s="963" t="s">
        <v>10</v>
      </c>
      <c r="L971" s="124"/>
      <c r="M971" s="69"/>
      <c r="N971" s="963"/>
      <c r="O971" s="121" t="s">
        <v>1076</v>
      </c>
      <c r="P971" s="1012">
        <f>P866+P227</f>
        <v>218</v>
      </c>
      <c r="Q971" s="963" t="s">
        <v>10</v>
      </c>
      <c r="R971" s="1012">
        <f>R866+R227</f>
        <v>2198.375</v>
      </c>
      <c r="S971" s="963"/>
      <c r="T971" s="963"/>
      <c r="U971" s="52" t="s">
        <v>1076</v>
      </c>
      <c r="V971" s="1012"/>
      <c r="W971" s="963" t="s">
        <v>10</v>
      </c>
      <c r="X971" s="1012"/>
      <c r="Y971" s="963"/>
      <c r="Z971" s="963"/>
      <c r="AA971" s="52" t="s">
        <v>1076</v>
      </c>
      <c r="AB971" s="1012"/>
      <c r="AC971" s="963" t="s">
        <v>10</v>
      </c>
      <c r="AD971" s="124"/>
      <c r="AE971" s="963"/>
      <c r="AF971" s="963"/>
      <c r="AG971" s="52" t="s">
        <v>1076</v>
      </c>
      <c r="AH971" s="1012"/>
      <c r="AI971" s="963" t="s">
        <v>10</v>
      </c>
      <c r="AJ971" s="124"/>
      <c r="AK971" s="963"/>
      <c r="AL971" s="963"/>
      <c r="AM971" s="52" t="s">
        <v>1076</v>
      </c>
      <c r="AN971" s="1012"/>
      <c r="AO971" s="963" t="s">
        <v>10</v>
      </c>
      <c r="AP971" s="124"/>
      <c r="AQ971" s="963"/>
    </row>
    <row r="972" spans="1:43" s="7" customFormat="1" ht="31.15" customHeight="1" x14ac:dyDescent="0.25">
      <c r="A972" s="1603"/>
      <c r="B972" s="1604"/>
      <c r="C972" s="1604"/>
      <c r="D972" s="1604"/>
      <c r="E972" s="1604"/>
      <c r="F972" s="1604"/>
      <c r="G972" s="1604"/>
      <c r="H972" s="1605"/>
      <c r="I972" s="121" t="s">
        <v>1131</v>
      </c>
      <c r="J972" s="1012"/>
      <c r="K972" s="963" t="s">
        <v>1132</v>
      </c>
      <c r="L972" s="124"/>
      <c r="M972" s="69"/>
      <c r="N972" s="963"/>
      <c r="O972" s="121" t="s">
        <v>1131</v>
      </c>
      <c r="P972" s="1012"/>
      <c r="Q972" s="963" t="s">
        <v>1132</v>
      </c>
      <c r="R972" s="542"/>
      <c r="S972" s="963"/>
      <c r="T972" s="963"/>
      <c r="U972" s="52" t="s">
        <v>1131</v>
      </c>
      <c r="V972" s="1012"/>
      <c r="W972" s="963" t="s">
        <v>1132</v>
      </c>
      <c r="X972" s="124"/>
      <c r="Y972" s="963"/>
      <c r="Z972" s="963"/>
      <c r="AA972" s="52" t="s">
        <v>1131</v>
      </c>
      <c r="AB972" s="1012"/>
      <c r="AC972" s="963" t="s">
        <v>1132</v>
      </c>
      <c r="AD972" s="124"/>
      <c r="AE972" s="963"/>
      <c r="AF972" s="963"/>
      <c r="AG972" s="52" t="s">
        <v>1131</v>
      </c>
      <c r="AH972" s="1012"/>
      <c r="AI972" s="963" t="s">
        <v>1132</v>
      </c>
      <c r="AJ972" s="124"/>
      <c r="AK972" s="963"/>
      <c r="AL972" s="963"/>
      <c r="AM972" s="52" t="s">
        <v>1131</v>
      </c>
      <c r="AN972" s="1012"/>
      <c r="AO972" s="963" t="s">
        <v>1132</v>
      </c>
      <c r="AP972" s="124"/>
      <c r="AQ972" s="963"/>
    </row>
    <row r="973" spans="1:43" s="7" customFormat="1" ht="79.7" customHeight="1" x14ac:dyDescent="0.25">
      <c r="A973" s="1603"/>
      <c r="B973" s="1604"/>
      <c r="C973" s="1604"/>
      <c r="D973" s="1604"/>
      <c r="E973" s="1604"/>
      <c r="F973" s="1604"/>
      <c r="G973" s="1604"/>
      <c r="H973" s="1605"/>
      <c r="I973" s="121" t="s">
        <v>1134</v>
      </c>
      <c r="J973" s="1012"/>
      <c r="K973" s="963" t="s">
        <v>1133</v>
      </c>
      <c r="L973" s="124"/>
      <c r="M973" s="69"/>
      <c r="N973" s="963"/>
      <c r="O973" s="394" t="s">
        <v>1134</v>
      </c>
      <c r="P973" s="1012"/>
      <c r="Q973" s="963" t="s">
        <v>1133</v>
      </c>
      <c r="R973" s="542"/>
      <c r="S973" s="963"/>
      <c r="T973" s="963"/>
      <c r="U973" s="52" t="s">
        <v>1134</v>
      </c>
      <c r="V973" s="1012"/>
      <c r="W973" s="963" t="s">
        <v>1133</v>
      </c>
      <c r="X973" s="124"/>
      <c r="Y973" s="963"/>
      <c r="Z973" s="963"/>
      <c r="AA973" s="52" t="s">
        <v>1134</v>
      </c>
      <c r="AB973" s="1012"/>
      <c r="AC973" s="963" t="s">
        <v>1133</v>
      </c>
      <c r="AD973" s="124"/>
      <c r="AE973" s="963"/>
      <c r="AF973" s="963"/>
      <c r="AG973" s="52" t="s">
        <v>1134</v>
      </c>
      <c r="AH973" s="1012"/>
      <c r="AI973" s="963" t="s">
        <v>1133</v>
      </c>
      <c r="AJ973" s="124"/>
      <c r="AK973" s="963"/>
      <c r="AL973" s="963"/>
      <c r="AM973" s="52" t="s">
        <v>1134</v>
      </c>
      <c r="AN973" s="1012"/>
      <c r="AO973" s="963" t="s">
        <v>1133</v>
      </c>
      <c r="AP973" s="124"/>
      <c r="AQ973" s="963"/>
    </row>
    <row r="974" spans="1:43" s="285" customFormat="1" ht="21.2" hidden="1" customHeight="1" x14ac:dyDescent="0.25">
      <c r="A974" s="90"/>
      <c r="B974" s="90"/>
      <c r="C974" s="91" t="s">
        <v>1095</v>
      </c>
      <c r="D974" s="92"/>
      <c r="E974" s="93"/>
      <c r="F974" s="94"/>
      <c r="G974" s="95"/>
      <c r="H974" s="95"/>
      <c r="I974" s="24"/>
      <c r="J974" s="1061"/>
      <c r="K974" s="887"/>
      <c r="L974" s="96"/>
      <c r="M974" s="97"/>
      <c r="N974" s="887"/>
      <c r="O974" s="206"/>
      <c r="P974" s="1061"/>
      <c r="Q974" s="887"/>
      <c r="R974" s="556"/>
      <c r="S974" s="887"/>
      <c r="T974" s="887"/>
      <c r="U974" s="64"/>
      <c r="V974" s="1061"/>
      <c r="W974" s="887"/>
      <c r="X974" s="96"/>
      <c r="Y974" s="887"/>
      <c r="Z974" s="887"/>
      <c r="AA974" s="64"/>
      <c r="AB974" s="1061"/>
      <c r="AC974" s="887"/>
      <c r="AD974" s="96"/>
      <c r="AE974" s="887"/>
      <c r="AF974" s="887"/>
      <c r="AG974" s="64"/>
      <c r="AH974" s="1061"/>
      <c r="AI974" s="887"/>
      <c r="AJ974" s="96"/>
      <c r="AK974" s="887"/>
      <c r="AL974" s="887"/>
      <c r="AM974" s="64"/>
      <c r="AN974" s="1061"/>
      <c r="AO974" s="887"/>
      <c r="AP974" s="96"/>
      <c r="AQ974" s="887"/>
    </row>
    <row r="975" spans="1:43" s="285" customFormat="1" ht="30.2" hidden="1" customHeight="1" x14ac:dyDescent="0.25">
      <c r="A975" s="90"/>
      <c r="B975" s="98" t="s">
        <v>1082</v>
      </c>
      <c r="C975" s="99"/>
      <c r="D975" s="92"/>
      <c r="E975" s="93"/>
      <c r="F975" s="94"/>
      <c r="G975" s="95"/>
      <c r="H975" s="95"/>
      <c r="I975" s="24"/>
      <c r="J975" s="1061"/>
      <c r="K975" s="887"/>
      <c r="L975" s="137">
        <f>SUM(L976:L986)</f>
        <v>1296584.5190000001</v>
      </c>
      <c r="M975" s="97"/>
      <c r="N975" s="887"/>
      <c r="O975" s="1119"/>
      <c r="P975" s="1061"/>
      <c r="Q975" s="887"/>
      <c r="R975" s="557">
        <f>SUM(R976:R986)</f>
        <v>848507.49999999988</v>
      </c>
      <c r="S975" s="887"/>
      <c r="T975" s="887"/>
      <c r="U975" s="64"/>
      <c r="V975" s="1061"/>
      <c r="W975" s="887"/>
      <c r="X975" s="100">
        <f>SUM(X976:X986)</f>
        <v>880552.60000000009</v>
      </c>
      <c r="Y975" s="887"/>
      <c r="Z975" s="887"/>
      <c r="AA975" s="64"/>
      <c r="AB975" s="1061"/>
      <c r="AC975" s="887"/>
      <c r="AD975" s="100">
        <f>SUM(AD976:AD986)</f>
        <v>880552.60000000009</v>
      </c>
      <c r="AE975" s="887"/>
      <c r="AF975" s="887"/>
      <c r="AG975" s="64"/>
      <c r="AH975" s="1061"/>
      <c r="AI975" s="887"/>
      <c r="AJ975" s="100">
        <f>SUM(AJ976:AJ986)</f>
        <v>880552.60000000009</v>
      </c>
      <c r="AK975" s="887"/>
      <c r="AL975" s="887"/>
      <c r="AM975" s="64"/>
      <c r="AN975" s="1061"/>
      <c r="AO975" s="887"/>
      <c r="AP975" s="100">
        <f>SUM(AP976:AP986)</f>
        <v>880552.60000000009</v>
      </c>
      <c r="AQ975" s="887"/>
    </row>
    <row r="976" spans="1:43" s="7" customFormat="1" ht="110.65" hidden="1" customHeight="1" x14ac:dyDescent="0.25">
      <c r="A976" s="101">
        <v>1</v>
      </c>
      <c r="B976" s="102"/>
      <c r="C976" s="103" t="s">
        <v>1094</v>
      </c>
      <c r="D976" s="33"/>
      <c r="E976" s="104"/>
      <c r="F976" s="104"/>
      <c r="G976" s="95"/>
      <c r="H976" s="95"/>
      <c r="I976" s="64" t="s">
        <v>1092</v>
      </c>
      <c r="J976" s="1061">
        <v>255986.69</v>
      </c>
      <c r="K976" s="887" t="s">
        <v>3</v>
      </c>
      <c r="L976" s="1061">
        <v>300576.28200000001</v>
      </c>
      <c r="M976" s="97"/>
      <c r="N976" s="887"/>
      <c r="O976" s="64" t="s">
        <v>1092</v>
      </c>
      <c r="P976" s="1061">
        <v>264000</v>
      </c>
      <c r="Q976" s="887" t="s">
        <v>3</v>
      </c>
      <c r="R976" s="556">
        <v>277461.90000000002</v>
      </c>
      <c r="S976" s="887"/>
      <c r="T976" s="887"/>
      <c r="U976" s="64" t="s">
        <v>1092</v>
      </c>
      <c r="V976" s="1061">
        <v>264000</v>
      </c>
      <c r="W976" s="887" t="s">
        <v>3</v>
      </c>
      <c r="X976" s="96">
        <v>287940.7</v>
      </c>
      <c r="Y976" s="887"/>
      <c r="Z976" s="887"/>
      <c r="AA976" s="64" t="s">
        <v>1092</v>
      </c>
      <c r="AB976" s="1061">
        <v>264000</v>
      </c>
      <c r="AC976" s="887" t="s">
        <v>3</v>
      </c>
      <c r="AD976" s="96">
        <v>287940.7</v>
      </c>
      <c r="AE976" s="887"/>
      <c r="AF976" s="887"/>
      <c r="AG976" s="64" t="s">
        <v>1092</v>
      </c>
      <c r="AH976" s="1061">
        <v>264000</v>
      </c>
      <c r="AI976" s="887" t="s">
        <v>3</v>
      </c>
      <c r="AJ976" s="96">
        <v>287940.7</v>
      </c>
      <c r="AK976" s="887"/>
      <c r="AL976" s="887"/>
      <c r="AM976" s="64" t="s">
        <v>1092</v>
      </c>
      <c r="AN976" s="1061">
        <v>264000</v>
      </c>
      <c r="AO976" s="887" t="s">
        <v>3</v>
      </c>
      <c r="AP976" s="96">
        <v>287940.7</v>
      </c>
      <c r="AQ976" s="887"/>
    </row>
    <row r="977" spans="1:59" s="7" customFormat="1" ht="109.9" hidden="1" customHeight="1" x14ac:dyDescent="0.25">
      <c r="A977" s="101">
        <v>2</v>
      </c>
      <c r="B977" s="102"/>
      <c r="C977" s="103" t="s">
        <v>1094</v>
      </c>
      <c r="D977" s="33"/>
      <c r="E977" s="104"/>
      <c r="F977" s="104"/>
      <c r="G977" s="95"/>
      <c r="H977" s="95"/>
      <c r="I977" s="64" t="s">
        <v>1092</v>
      </c>
      <c r="J977" s="1061">
        <v>255986.69</v>
      </c>
      <c r="K977" s="887" t="s">
        <v>3</v>
      </c>
      <c r="L977" s="1061">
        <v>300576.28200000001</v>
      </c>
      <c r="M977" s="97"/>
      <c r="N977" s="887"/>
      <c r="O977" s="64" t="s">
        <v>1092</v>
      </c>
      <c r="P977" s="1061">
        <v>8700</v>
      </c>
      <c r="Q977" s="887" t="s">
        <v>3</v>
      </c>
      <c r="R977" s="556">
        <v>5260.7</v>
      </c>
      <c r="S977" s="887"/>
      <c r="T977" s="887"/>
      <c r="U977" s="64" t="s">
        <v>1092</v>
      </c>
      <c r="V977" s="1061">
        <v>8700</v>
      </c>
      <c r="W977" s="887" t="s">
        <v>3</v>
      </c>
      <c r="X977" s="96">
        <v>5459.4</v>
      </c>
      <c r="Y977" s="887"/>
      <c r="Z977" s="887"/>
      <c r="AA977" s="64" t="s">
        <v>1092</v>
      </c>
      <c r="AB977" s="1061">
        <v>8700</v>
      </c>
      <c r="AC977" s="887" t="s">
        <v>3</v>
      </c>
      <c r="AD977" s="96">
        <v>5459.4</v>
      </c>
      <c r="AE977" s="887"/>
      <c r="AF977" s="887"/>
      <c r="AG977" s="64" t="s">
        <v>1092</v>
      </c>
      <c r="AH977" s="1061">
        <v>8700</v>
      </c>
      <c r="AI977" s="887" t="s">
        <v>3</v>
      </c>
      <c r="AJ977" s="96">
        <v>5459.4</v>
      </c>
      <c r="AK977" s="887"/>
      <c r="AL977" s="887"/>
      <c r="AM977" s="64" t="s">
        <v>1092</v>
      </c>
      <c r="AN977" s="1061">
        <v>8700</v>
      </c>
      <c r="AO977" s="887" t="s">
        <v>3</v>
      </c>
      <c r="AP977" s="96">
        <v>5459.4</v>
      </c>
      <c r="AQ977" s="887"/>
    </row>
    <row r="978" spans="1:59" s="7" customFormat="1" ht="91.35" hidden="1" customHeight="1" x14ac:dyDescent="0.25">
      <c r="A978" s="101">
        <v>3</v>
      </c>
      <c r="B978" s="102"/>
      <c r="C978" s="103" t="s">
        <v>1094</v>
      </c>
      <c r="D978" s="33"/>
      <c r="E978" s="104"/>
      <c r="F978" s="104"/>
      <c r="G978" s="95"/>
      <c r="H978" s="95"/>
      <c r="I978" s="64" t="s">
        <v>1083</v>
      </c>
      <c r="J978" s="1061">
        <v>165265</v>
      </c>
      <c r="K978" s="887" t="s">
        <v>3</v>
      </c>
      <c r="L978" s="1061">
        <v>13392.481</v>
      </c>
      <c r="M978" s="97"/>
      <c r="N978" s="887"/>
      <c r="O978" s="64" t="s">
        <v>1083</v>
      </c>
      <c r="P978" s="1061">
        <v>154000</v>
      </c>
      <c r="Q978" s="887" t="s">
        <v>3</v>
      </c>
      <c r="R978" s="556">
        <v>11879.1</v>
      </c>
      <c r="S978" s="887"/>
      <c r="T978" s="887"/>
      <c r="U978" s="64" t="s">
        <v>1083</v>
      </c>
      <c r="V978" s="1061">
        <v>154000</v>
      </c>
      <c r="W978" s="887" t="s">
        <v>3</v>
      </c>
      <c r="X978" s="96">
        <v>12327.7</v>
      </c>
      <c r="Y978" s="887"/>
      <c r="Z978" s="887"/>
      <c r="AA978" s="64" t="s">
        <v>1083</v>
      </c>
      <c r="AB978" s="1061">
        <v>154000</v>
      </c>
      <c r="AC978" s="887" t="s">
        <v>3</v>
      </c>
      <c r="AD978" s="96">
        <v>12327.7</v>
      </c>
      <c r="AE978" s="887"/>
      <c r="AF978" s="887"/>
      <c r="AG978" s="64" t="s">
        <v>1083</v>
      </c>
      <c r="AH978" s="1061">
        <v>154000</v>
      </c>
      <c r="AI978" s="887" t="s">
        <v>3</v>
      </c>
      <c r="AJ978" s="96">
        <v>12327.7</v>
      </c>
      <c r="AK978" s="887"/>
      <c r="AL978" s="887"/>
      <c r="AM978" s="64" t="s">
        <v>1083</v>
      </c>
      <c r="AN978" s="1061">
        <v>154000</v>
      </c>
      <c r="AO978" s="887" t="s">
        <v>3</v>
      </c>
      <c r="AP978" s="96">
        <v>12327.7</v>
      </c>
      <c r="AQ978" s="887"/>
    </row>
    <row r="979" spans="1:59" s="7" customFormat="1" ht="139.15" hidden="1" customHeight="1" x14ac:dyDescent="0.25">
      <c r="A979" s="101">
        <v>4</v>
      </c>
      <c r="B979" s="102"/>
      <c r="C979" s="103" t="s">
        <v>1094</v>
      </c>
      <c r="D979" s="33"/>
      <c r="E979" s="104"/>
      <c r="F979" s="104"/>
      <c r="G979" s="95"/>
      <c r="H979" s="95"/>
      <c r="I979" s="64" t="s">
        <v>1084</v>
      </c>
      <c r="J979" s="1061">
        <v>14042.6</v>
      </c>
      <c r="K979" s="887" t="s">
        <v>3</v>
      </c>
      <c r="L979" s="1061">
        <v>14867.058000000001</v>
      </c>
      <c r="M979" s="97"/>
      <c r="N979" s="887"/>
      <c r="O979" s="64" t="s">
        <v>1084</v>
      </c>
      <c r="P979" s="1061">
        <v>5200</v>
      </c>
      <c r="Q979" s="887" t="s">
        <v>3</v>
      </c>
      <c r="R979" s="556">
        <v>4751.6000000000004</v>
      </c>
      <c r="S979" s="887"/>
      <c r="T979" s="887"/>
      <c r="U979" s="64" t="s">
        <v>1084</v>
      </c>
      <c r="V979" s="1061">
        <v>5200</v>
      </c>
      <c r="W979" s="887" t="s">
        <v>3</v>
      </c>
      <c r="X979" s="96">
        <v>4931.1000000000004</v>
      </c>
      <c r="Y979" s="887"/>
      <c r="Z979" s="887"/>
      <c r="AA979" s="64" t="s">
        <v>1084</v>
      </c>
      <c r="AB979" s="1061">
        <v>5200</v>
      </c>
      <c r="AC979" s="887" t="s">
        <v>3</v>
      </c>
      <c r="AD979" s="96">
        <v>4931.1000000000004</v>
      </c>
      <c r="AE979" s="887"/>
      <c r="AF979" s="887"/>
      <c r="AG979" s="64" t="s">
        <v>1084</v>
      </c>
      <c r="AH979" s="1061">
        <v>5200</v>
      </c>
      <c r="AI979" s="887" t="s">
        <v>3</v>
      </c>
      <c r="AJ979" s="96">
        <v>4931.1000000000004</v>
      </c>
      <c r="AK979" s="887"/>
      <c r="AL979" s="887"/>
      <c r="AM979" s="64" t="s">
        <v>1084</v>
      </c>
      <c r="AN979" s="1061">
        <v>5200</v>
      </c>
      <c r="AO979" s="887" t="s">
        <v>3</v>
      </c>
      <c r="AP979" s="96">
        <v>4931.1000000000004</v>
      </c>
      <c r="AQ979" s="887"/>
    </row>
    <row r="980" spans="1:59" s="7" customFormat="1" ht="123.4" hidden="1" customHeight="1" x14ac:dyDescent="0.25">
      <c r="A980" s="101">
        <v>5</v>
      </c>
      <c r="B980" s="102"/>
      <c r="C980" s="103" t="s">
        <v>1094</v>
      </c>
      <c r="D980" s="33"/>
      <c r="E980" s="104"/>
      <c r="F980" s="104"/>
      <c r="G980" s="95"/>
      <c r="H980" s="95"/>
      <c r="I980" s="64" t="s">
        <v>1085</v>
      </c>
      <c r="J980" s="1061">
        <v>1146567.3</v>
      </c>
      <c r="K980" s="887" t="s">
        <v>3</v>
      </c>
      <c r="L980" s="1061">
        <v>115021.308</v>
      </c>
      <c r="M980" s="97"/>
      <c r="N980" s="887"/>
      <c r="O980" s="64" t="s">
        <v>1085</v>
      </c>
      <c r="P980" s="1061">
        <v>874000</v>
      </c>
      <c r="Q980" s="887" t="s">
        <v>3</v>
      </c>
      <c r="R980" s="556">
        <v>98426.9</v>
      </c>
      <c r="S980" s="887"/>
      <c r="T980" s="887"/>
      <c r="U980" s="64" t="s">
        <v>1085</v>
      </c>
      <c r="V980" s="1061">
        <v>874000</v>
      </c>
      <c r="W980" s="887" t="s">
        <v>3</v>
      </c>
      <c r="X980" s="96">
        <v>102144.1</v>
      </c>
      <c r="Y980" s="887"/>
      <c r="Z980" s="887"/>
      <c r="AA980" s="64" t="s">
        <v>1085</v>
      </c>
      <c r="AB980" s="1061">
        <v>874000</v>
      </c>
      <c r="AC980" s="887" t="s">
        <v>3</v>
      </c>
      <c r="AD980" s="96">
        <v>102144.1</v>
      </c>
      <c r="AE980" s="887"/>
      <c r="AF980" s="887"/>
      <c r="AG980" s="64" t="s">
        <v>1085</v>
      </c>
      <c r="AH980" s="1061">
        <v>874000</v>
      </c>
      <c r="AI980" s="887" t="s">
        <v>3</v>
      </c>
      <c r="AJ980" s="96">
        <v>102144.1</v>
      </c>
      <c r="AK980" s="887"/>
      <c r="AL980" s="887"/>
      <c r="AM980" s="64" t="s">
        <v>1085</v>
      </c>
      <c r="AN980" s="1061">
        <v>874000</v>
      </c>
      <c r="AO980" s="887" t="s">
        <v>3</v>
      </c>
      <c r="AP980" s="96">
        <v>102144.1</v>
      </c>
      <c r="AQ980" s="887"/>
    </row>
    <row r="981" spans="1:59" s="7" customFormat="1" ht="121.5" hidden="1" customHeight="1" x14ac:dyDescent="0.25">
      <c r="A981" s="101">
        <v>6</v>
      </c>
      <c r="B981" s="102"/>
      <c r="C981" s="103" t="s">
        <v>1094</v>
      </c>
      <c r="D981" s="33"/>
      <c r="E981" s="104"/>
      <c r="F981" s="104"/>
      <c r="G981" s="95"/>
      <c r="H981" s="95"/>
      <c r="I981" s="64" t="s">
        <v>1086</v>
      </c>
      <c r="J981" s="1061">
        <v>375057</v>
      </c>
      <c r="K981" s="887" t="s">
        <v>3</v>
      </c>
      <c r="L981" s="1061">
        <v>6084.6080000000002</v>
      </c>
      <c r="M981" s="97"/>
      <c r="N981" s="887">
        <f>R981/L981</f>
        <v>1.9662729299899024</v>
      </c>
      <c r="O981" s="64" t="s">
        <v>1086</v>
      </c>
      <c r="P981" s="1061">
        <v>399000</v>
      </c>
      <c r="Q981" s="887" t="s">
        <v>3</v>
      </c>
      <c r="R981" s="556">
        <v>11964</v>
      </c>
      <c r="S981" s="887"/>
      <c r="T981" s="887"/>
      <c r="U981" s="64" t="s">
        <v>1086</v>
      </c>
      <c r="V981" s="1061">
        <v>399000</v>
      </c>
      <c r="W981" s="887" t="s">
        <v>3</v>
      </c>
      <c r="X981" s="96">
        <v>12415.8</v>
      </c>
      <c r="Y981" s="887"/>
      <c r="Z981" s="887"/>
      <c r="AA981" s="64" t="s">
        <v>1086</v>
      </c>
      <c r="AB981" s="1061">
        <v>399000</v>
      </c>
      <c r="AC981" s="887" t="s">
        <v>3</v>
      </c>
      <c r="AD981" s="96">
        <v>12415.8</v>
      </c>
      <c r="AE981" s="887"/>
      <c r="AF981" s="887"/>
      <c r="AG981" s="64" t="s">
        <v>1086</v>
      </c>
      <c r="AH981" s="1061">
        <v>399000</v>
      </c>
      <c r="AI981" s="887" t="s">
        <v>3</v>
      </c>
      <c r="AJ981" s="96">
        <v>12415.8</v>
      </c>
      <c r="AK981" s="887"/>
      <c r="AL981" s="887"/>
      <c r="AM981" s="64" t="s">
        <v>1086</v>
      </c>
      <c r="AN981" s="1061">
        <v>399000</v>
      </c>
      <c r="AO981" s="887" t="s">
        <v>3</v>
      </c>
      <c r="AP981" s="96">
        <v>12415.8</v>
      </c>
      <c r="AQ981" s="887"/>
    </row>
    <row r="982" spans="1:59" s="519" customFormat="1" ht="54.6" hidden="1" customHeight="1" x14ac:dyDescent="0.25">
      <c r="A982" s="887">
        <v>7</v>
      </c>
      <c r="B982" s="120"/>
      <c r="C982" s="957" t="s">
        <v>1094</v>
      </c>
      <c r="D982" s="120"/>
      <c r="E982" s="44"/>
      <c r="F982" s="1027"/>
      <c r="G982" s="120"/>
      <c r="H982" s="120"/>
      <c r="I982" s="10" t="s">
        <v>1087</v>
      </c>
      <c r="J982" s="1061">
        <v>56497310</v>
      </c>
      <c r="K982" s="887" t="s">
        <v>3</v>
      </c>
      <c r="L982" s="1061">
        <v>25645.388999999999</v>
      </c>
      <c r="M982" s="105"/>
      <c r="N982" s="105"/>
      <c r="O982" s="10" t="s">
        <v>1087</v>
      </c>
      <c r="P982" s="106">
        <f>70511*1000</f>
        <v>70511000</v>
      </c>
      <c r="Q982" s="1015" t="s">
        <v>3</v>
      </c>
      <c r="R982" s="558">
        <v>30546.3</v>
      </c>
      <c r="S982" s="105"/>
      <c r="T982" s="105"/>
      <c r="U982" s="50" t="s">
        <v>1087</v>
      </c>
      <c r="V982" s="106">
        <f>70511*1000</f>
        <v>70511000</v>
      </c>
      <c r="W982" s="1015" t="s">
        <v>3</v>
      </c>
      <c r="X982" s="106">
        <v>31699.9</v>
      </c>
      <c r="Y982" s="105"/>
      <c r="Z982" s="105"/>
      <c r="AA982" s="50" t="s">
        <v>1087</v>
      </c>
      <c r="AB982" s="107">
        <f>70511*1000</f>
        <v>70511000</v>
      </c>
      <c r="AC982" s="1015" t="s">
        <v>3</v>
      </c>
      <c r="AD982" s="106">
        <v>31699.9</v>
      </c>
      <c r="AE982" s="105"/>
      <c r="AF982" s="105"/>
      <c r="AG982" s="50" t="s">
        <v>1087</v>
      </c>
      <c r="AH982" s="107">
        <f>70511*1000</f>
        <v>70511000</v>
      </c>
      <c r="AI982" s="1015" t="s">
        <v>3</v>
      </c>
      <c r="AJ982" s="49">
        <v>31699.9</v>
      </c>
      <c r="AK982" s="105"/>
      <c r="AL982" s="105"/>
      <c r="AM982" s="50" t="s">
        <v>1087</v>
      </c>
      <c r="AN982" s="107">
        <f>70511*1000</f>
        <v>70511000</v>
      </c>
      <c r="AO982" s="1015" t="s">
        <v>3</v>
      </c>
      <c r="AP982" s="106">
        <v>31699.9</v>
      </c>
      <c r="AQ982" s="108"/>
    </row>
    <row r="983" spans="1:59" s="519" customFormat="1" ht="62.65" hidden="1" customHeight="1" x14ac:dyDescent="0.25">
      <c r="A983" s="887">
        <v>8</v>
      </c>
      <c r="B983" s="120"/>
      <c r="C983" s="957" t="s">
        <v>1094</v>
      </c>
      <c r="D983" s="120"/>
      <c r="E983" s="44"/>
      <c r="F983" s="1027"/>
      <c r="G983" s="120"/>
      <c r="H983" s="120"/>
      <c r="I983" s="10" t="s">
        <v>1088</v>
      </c>
      <c r="J983" s="1061">
        <v>524307.69999999995</v>
      </c>
      <c r="K983" s="887" t="s">
        <v>3</v>
      </c>
      <c r="L983" s="1061">
        <v>472230.745</v>
      </c>
      <c r="M983" s="105"/>
      <c r="N983" s="105"/>
      <c r="O983" s="10" t="s">
        <v>1088</v>
      </c>
      <c r="P983" s="106">
        <f>374*1000</f>
        <v>374000</v>
      </c>
      <c r="Q983" s="1015" t="s">
        <v>3</v>
      </c>
      <c r="R983" s="558">
        <v>316493.3</v>
      </c>
      <c r="S983" s="105"/>
      <c r="T983" s="105"/>
      <c r="U983" s="50" t="s">
        <v>1088</v>
      </c>
      <c r="V983" s="106">
        <f>374*1000</f>
        <v>374000</v>
      </c>
      <c r="W983" s="1015" t="s">
        <v>3</v>
      </c>
      <c r="X983" s="106">
        <v>328446.09999999998</v>
      </c>
      <c r="Y983" s="105"/>
      <c r="Z983" s="105"/>
      <c r="AA983" s="50" t="s">
        <v>1088</v>
      </c>
      <c r="AB983" s="107">
        <f>374*1000</f>
        <v>374000</v>
      </c>
      <c r="AC983" s="1015" t="s">
        <v>3</v>
      </c>
      <c r="AD983" s="106">
        <v>328446.09999999998</v>
      </c>
      <c r="AE983" s="105"/>
      <c r="AF983" s="105"/>
      <c r="AG983" s="50" t="s">
        <v>1088</v>
      </c>
      <c r="AH983" s="107">
        <f>374*1000</f>
        <v>374000</v>
      </c>
      <c r="AI983" s="1015" t="s">
        <v>3</v>
      </c>
      <c r="AJ983" s="49">
        <v>328446.09999999998</v>
      </c>
      <c r="AK983" s="105"/>
      <c r="AL983" s="105"/>
      <c r="AM983" s="50" t="s">
        <v>1088</v>
      </c>
      <c r="AN983" s="107">
        <f>374*1000</f>
        <v>374000</v>
      </c>
      <c r="AO983" s="1015" t="s">
        <v>3</v>
      </c>
      <c r="AP983" s="106">
        <v>328446.09999999998</v>
      </c>
      <c r="AQ983" s="108"/>
    </row>
    <row r="984" spans="1:59" s="519" customFormat="1" ht="54.6" hidden="1" customHeight="1" x14ac:dyDescent="0.25">
      <c r="A984" s="887">
        <v>9</v>
      </c>
      <c r="B984" s="120"/>
      <c r="C984" s="957" t="s">
        <v>1094</v>
      </c>
      <c r="D984" s="120"/>
      <c r="E984" s="44"/>
      <c r="F984" s="1027"/>
      <c r="G984" s="120"/>
      <c r="H984" s="120"/>
      <c r="I984" s="10" t="s">
        <v>1089</v>
      </c>
      <c r="J984" s="1061">
        <v>16208.9</v>
      </c>
      <c r="K984" s="887" t="s">
        <v>3</v>
      </c>
      <c r="L984" s="1061">
        <v>14109.117</v>
      </c>
      <c r="M984" s="105"/>
      <c r="N984" s="105"/>
      <c r="O984" s="10" t="s">
        <v>1089</v>
      </c>
      <c r="P984" s="106">
        <f>9*1000</f>
        <v>9000</v>
      </c>
      <c r="Q984" s="1015" t="s">
        <v>3</v>
      </c>
      <c r="R984" s="558">
        <v>6872.9</v>
      </c>
      <c r="S984" s="105"/>
      <c r="T984" s="105"/>
      <c r="U984" s="50" t="s">
        <v>1089</v>
      </c>
      <c r="V984" s="106">
        <f>9*1000</f>
        <v>9000</v>
      </c>
      <c r="W984" s="1015" t="s">
        <v>3</v>
      </c>
      <c r="X984" s="106">
        <v>7132.5</v>
      </c>
      <c r="Y984" s="105"/>
      <c r="Z984" s="105"/>
      <c r="AA984" s="50" t="s">
        <v>1089</v>
      </c>
      <c r="AB984" s="107">
        <f>9*1000</f>
        <v>9000</v>
      </c>
      <c r="AC984" s="1015" t="s">
        <v>3</v>
      </c>
      <c r="AD984" s="106">
        <v>7132.5</v>
      </c>
      <c r="AE984" s="105"/>
      <c r="AF984" s="105"/>
      <c r="AG984" s="50" t="s">
        <v>1089</v>
      </c>
      <c r="AH984" s="107">
        <f>9*1000</f>
        <v>9000</v>
      </c>
      <c r="AI984" s="1015" t="s">
        <v>3</v>
      </c>
      <c r="AJ984" s="49">
        <v>7132.5</v>
      </c>
      <c r="AK984" s="105"/>
      <c r="AL984" s="105"/>
      <c r="AM984" s="50" t="s">
        <v>1089</v>
      </c>
      <c r="AN984" s="107">
        <f>9*1000</f>
        <v>9000</v>
      </c>
      <c r="AO984" s="1015" t="s">
        <v>3</v>
      </c>
      <c r="AP984" s="106">
        <v>7132.5</v>
      </c>
      <c r="AQ984" s="108"/>
    </row>
    <row r="985" spans="1:59" s="519" customFormat="1" ht="76.5" hidden="1" customHeight="1" x14ac:dyDescent="0.25">
      <c r="A985" s="887">
        <v>10</v>
      </c>
      <c r="B985" s="120"/>
      <c r="C985" s="957" t="s">
        <v>1094</v>
      </c>
      <c r="D985" s="120"/>
      <c r="E985" s="44"/>
      <c r="F985" s="1027"/>
      <c r="G985" s="120"/>
      <c r="H985" s="120"/>
      <c r="I985" s="10" t="s">
        <v>1090</v>
      </c>
      <c r="J985" s="1061">
        <v>8164.5</v>
      </c>
      <c r="K985" s="887" t="s">
        <v>3</v>
      </c>
      <c r="L985" s="1061">
        <v>26813.688999999998</v>
      </c>
      <c r="M985" s="105"/>
      <c r="N985" s="105"/>
      <c r="O985" s="10" t="s">
        <v>1090</v>
      </c>
      <c r="P985" s="106">
        <f>23*1000</f>
        <v>23000</v>
      </c>
      <c r="Q985" s="1015" t="s">
        <v>3</v>
      </c>
      <c r="R985" s="558">
        <v>82899.199999999997</v>
      </c>
      <c r="S985" s="105"/>
      <c r="T985" s="105"/>
      <c r="U985" s="50" t="s">
        <v>1090</v>
      </c>
      <c r="V985" s="106">
        <f>23*1000</f>
        <v>23000</v>
      </c>
      <c r="W985" s="1015" t="s">
        <v>3</v>
      </c>
      <c r="X985" s="106">
        <v>86030</v>
      </c>
      <c r="Y985" s="105"/>
      <c r="Z985" s="105"/>
      <c r="AA985" s="50" t="s">
        <v>1090</v>
      </c>
      <c r="AB985" s="107">
        <f>23*1000</f>
        <v>23000</v>
      </c>
      <c r="AC985" s="1015" t="s">
        <v>3</v>
      </c>
      <c r="AD985" s="106">
        <v>86030</v>
      </c>
      <c r="AE985" s="105"/>
      <c r="AF985" s="105"/>
      <c r="AG985" s="50" t="s">
        <v>1090</v>
      </c>
      <c r="AH985" s="107">
        <f>23*1000</f>
        <v>23000</v>
      </c>
      <c r="AI985" s="1015" t="s">
        <v>3</v>
      </c>
      <c r="AJ985" s="49">
        <v>86030</v>
      </c>
      <c r="AK985" s="105"/>
      <c r="AL985" s="105"/>
      <c r="AM985" s="50" t="s">
        <v>1090</v>
      </c>
      <c r="AN985" s="107">
        <f>23*1000</f>
        <v>23000</v>
      </c>
      <c r="AO985" s="1015" t="s">
        <v>3</v>
      </c>
      <c r="AP985" s="106">
        <v>86030</v>
      </c>
      <c r="AQ985" s="108"/>
    </row>
    <row r="986" spans="1:59" s="519" customFormat="1" ht="52.7" hidden="1" customHeight="1" x14ac:dyDescent="0.25">
      <c r="A986" s="887">
        <v>11</v>
      </c>
      <c r="B986" s="120"/>
      <c r="C986" s="957" t="s">
        <v>1094</v>
      </c>
      <c r="D986" s="120"/>
      <c r="E986" s="44"/>
      <c r="F986" s="1027"/>
      <c r="G986" s="120"/>
      <c r="H986" s="120"/>
      <c r="I986" s="10" t="s">
        <v>1091</v>
      </c>
      <c r="J986" s="1061">
        <v>24917.7</v>
      </c>
      <c r="K986" s="887" t="s">
        <v>1093</v>
      </c>
      <c r="L986" s="1061">
        <v>7267.56</v>
      </c>
      <c r="M986" s="105"/>
      <c r="N986" s="105"/>
      <c r="O986" s="10" t="s">
        <v>1091</v>
      </c>
      <c r="P986" s="106">
        <f>104*100</f>
        <v>10400</v>
      </c>
      <c r="Q986" s="1015" t="s">
        <v>1093</v>
      </c>
      <c r="R986" s="558">
        <v>1951.6</v>
      </c>
      <c r="S986" s="105"/>
      <c r="T986" s="105"/>
      <c r="U986" s="50" t="s">
        <v>1091</v>
      </c>
      <c r="V986" s="106">
        <f>104*100</f>
        <v>10400</v>
      </c>
      <c r="W986" s="1015" t="s">
        <v>1093</v>
      </c>
      <c r="X986" s="106">
        <v>2025.3</v>
      </c>
      <c r="Y986" s="105"/>
      <c r="Z986" s="105"/>
      <c r="AA986" s="50" t="s">
        <v>1091</v>
      </c>
      <c r="AB986" s="107">
        <f>104*100</f>
        <v>10400</v>
      </c>
      <c r="AC986" s="1015" t="s">
        <v>1093</v>
      </c>
      <c r="AD986" s="106">
        <v>2025.3</v>
      </c>
      <c r="AE986" s="105"/>
      <c r="AF986" s="105"/>
      <c r="AG986" s="50" t="s">
        <v>1091</v>
      </c>
      <c r="AH986" s="107">
        <f>104*100</f>
        <v>10400</v>
      </c>
      <c r="AI986" s="1015" t="s">
        <v>1093</v>
      </c>
      <c r="AJ986" s="49">
        <v>2025.3</v>
      </c>
      <c r="AK986" s="105"/>
      <c r="AL986" s="105"/>
      <c r="AM986" s="50" t="s">
        <v>1091</v>
      </c>
      <c r="AN986" s="107">
        <f>104*100</f>
        <v>10400</v>
      </c>
      <c r="AO986" s="1015" t="s">
        <v>1093</v>
      </c>
      <c r="AP986" s="106">
        <v>2025.3</v>
      </c>
      <c r="AQ986" s="108"/>
    </row>
    <row r="987" spans="1:59" s="521" customFormat="1" ht="25.15" customHeight="1" x14ac:dyDescent="0.25">
      <c r="A987" s="11"/>
      <c r="B987" s="482"/>
      <c r="C987" s="483"/>
      <c r="D987" s="482"/>
      <c r="E987" s="44"/>
      <c r="F987" s="1027"/>
      <c r="G987" s="120"/>
      <c r="H987" s="120"/>
      <c r="I987" s="10"/>
      <c r="J987" s="1061"/>
      <c r="K987" s="887"/>
      <c r="L987" s="1061"/>
      <c r="M987" s="105"/>
      <c r="N987" s="105"/>
      <c r="O987" s="10"/>
      <c r="P987" s="106"/>
      <c r="Q987" s="1015"/>
      <c r="R987" s="558"/>
      <c r="S987" s="105"/>
      <c r="T987" s="105"/>
      <c r="U987" s="50"/>
      <c r="V987" s="106"/>
      <c r="W987" s="1015"/>
      <c r="X987" s="106"/>
      <c r="Y987" s="105"/>
      <c r="Z987" s="105"/>
      <c r="AA987" s="50"/>
      <c r="AB987" s="107"/>
      <c r="AC987" s="1015"/>
      <c r="AD987" s="106"/>
      <c r="AE987" s="105"/>
      <c r="AF987" s="105"/>
      <c r="AG987" s="50"/>
      <c r="AH987" s="107"/>
      <c r="AI987" s="1015"/>
      <c r="AJ987" s="49"/>
      <c r="AK987" s="105"/>
      <c r="AL987" s="105"/>
      <c r="AM987" s="50"/>
      <c r="AN987" s="107"/>
      <c r="AO987" s="1015"/>
      <c r="AP987" s="106"/>
      <c r="AQ987" s="108"/>
      <c r="AR987" s="520"/>
      <c r="AS987" s="520"/>
      <c r="AT987" s="520"/>
      <c r="AU987" s="520"/>
      <c r="AV987" s="520"/>
      <c r="AW987" s="520"/>
      <c r="AX987" s="520"/>
      <c r="AY987" s="520"/>
      <c r="AZ987" s="520"/>
      <c r="BA987" s="520"/>
      <c r="BB987" s="520"/>
      <c r="BC987" s="520"/>
      <c r="BD987" s="520"/>
      <c r="BE987" s="520"/>
      <c r="BF987" s="520"/>
      <c r="BG987" s="520"/>
    </row>
    <row r="988" spans="1:59" s="523" customFormat="1" ht="43.7" customHeight="1" x14ac:dyDescent="0.2">
      <c r="A988" s="1579" t="s">
        <v>6</v>
      </c>
      <c r="B988" s="1580"/>
      <c r="C988" s="1580"/>
      <c r="D988" s="1581"/>
      <c r="E988" s="35"/>
      <c r="F988" s="484"/>
      <c r="G988" s="485"/>
      <c r="H988" s="485"/>
      <c r="I988" s="34"/>
      <c r="J988" s="35">
        <f>J934+J166</f>
        <v>168.87391</v>
      </c>
      <c r="K988" s="88">
        <f>K934+K166</f>
        <v>0</v>
      </c>
      <c r="L988" s="88">
        <f>L934+L166</f>
        <v>4527973.8675211016</v>
      </c>
      <c r="M988" s="88"/>
      <c r="N988" s="88"/>
      <c r="O988" s="88"/>
      <c r="P988" s="676">
        <f>P934+P166</f>
        <v>196.68979999999999</v>
      </c>
      <c r="Q988" s="88"/>
      <c r="R988" s="88">
        <f>R934+R166</f>
        <v>6005798.8100499995</v>
      </c>
      <c r="S988" s="88"/>
      <c r="T988" s="88"/>
      <c r="U988" s="88"/>
      <c r="V988" s="35">
        <f>V934+V166</f>
        <v>114.816</v>
      </c>
      <c r="W988" s="88"/>
      <c r="X988" s="88">
        <f>X934+X166</f>
        <v>5238984.5888899993</v>
      </c>
      <c r="Y988" s="88"/>
      <c r="Z988" s="88"/>
      <c r="AA988" s="88"/>
      <c r="AB988" s="860">
        <f>AB934+AB166</f>
        <v>132.904</v>
      </c>
      <c r="AC988" s="88"/>
      <c r="AD988" s="88">
        <f>AD934+AD166</f>
        <v>1112877.6009652</v>
      </c>
      <c r="AE988" s="88"/>
      <c r="AF988" s="88"/>
      <c r="AG988" s="88"/>
      <c r="AH988" s="88">
        <f>AH934+AH166</f>
        <v>53.519999999999996</v>
      </c>
      <c r="AI988" s="88"/>
      <c r="AJ988" s="88">
        <f>AJ934+AJ166</f>
        <v>1213722.12029</v>
      </c>
      <c r="AK988" s="88"/>
      <c r="AL988" s="88"/>
      <c r="AM988" s="88"/>
      <c r="AN988" s="88">
        <f>AN934+AN166</f>
        <v>45.040000000000006</v>
      </c>
      <c r="AO988" s="88"/>
      <c r="AP988" s="88">
        <f>AP934+AP166</f>
        <v>1218445.6431499999</v>
      </c>
      <c r="AQ988" s="34"/>
      <c r="AR988" s="522"/>
      <c r="AS988" s="522"/>
      <c r="AT988" s="522"/>
      <c r="AU988" s="522"/>
      <c r="AV988" s="522"/>
      <c r="AW988" s="522"/>
      <c r="AX988" s="522"/>
      <c r="AY988" s="522"/>
      <c r="AZ988" s="522"/>
      <c r="BA988" s="522"/>
      <c r="BB988" s="522"/>
      <c r="BC988" s="522"/>
      <c r="BD988" s="522"/>
      <c r="BE988" s="522"/>
      <c r="BF988" s="522"/>
      <c r="BG988" s="522"/>
    </row>
    <row r="989" spans="1:59" s="511" customFormat="1" ht="22.5" customHeight="1" x14ac:dyDescent="0.2">
      <c r="A989" s="395"/>
      <c r="B989" s="396"/>
      <c r="C989" s="396"/>
      <c r="D989" s="396"/>
      <c r="E989" s="345"/>
      <c r="F989" s="346"/>
      <c r="G989" s="1269" t="s">
        <v>1168</v>
      </c>
      <c r="H989" s="1269"/>
      <c r="I989" s="1269"/>
      <c r="J989" s="283"/>
      <c r="K989" s="74"/>
      <c r="L989" s="234"/>
      <c r="M989" s="74"/>
      <c r="N989" s="74"/>
      <c r="O989" s="257"/>
      <c r="P989" s="283"/>
      <c r="Q989" s="74"/>
      <c r="R989" s="234"/>
      <c r="S989" s="74"/>
      <c r="T989" s="74"/>
      <c r="U989" s="234"/>
      <c r="V989" s="74"/>
      <c r="W989" s="74"/>
      <c r="X989" s="2069"/>
      <c r="Y989" s="397"/>
      <c r="Z989" s="74"/>
      <c r="AA989" s="234"/>
      <c r="AB989" s="74"/>
      <c r="AC989" s="74"/>
      <c r="AD989" s="2070"/>
      <c r="AE989" s="74"/>
      <c r="AF989" s="74"/>
      <c r="AG989" s="234"/>
      <c r="AH989" s="74"/>
      <c r="AI989" s="74"/>
      <c r="AJ989" s="2071"/>
      <c r="AK989" s="74"/>
      <c r="AL989" s="74"/>
      <c r="AM989" s="234"/>
      <c r="AN989" s="74"/>
      <c r="AO989" s="74"/>
      <c r="AP989" s="2071"/>
      <c r="AQ989" s="127"/>
    </row>
    <row r="990" spans="1:59" s="511" customFormat="1" ht="22.5" customHeight="1" x14ac:dyDescent="0.2">
      <c r="A990" s="395"/>
      <c r="B990" s="396"/>
      <c r="C990" s="396"/>
      <c r="D990" s="396"/>
      <c r="E990" s="345"/>
      <c r="F990" s="346"/>
      <c r="G990" s="1269" t="s">
        <v>1170</v>
      </c>
      <c r="H990" s="1269"/>
      <c r="I990" s="1269"/>
      <c r="J990" s="283"/>
      <c r="K990" s="74"/>
      <c r="L990" s="146">
        <f>L936+L168</f>
        <v>4167339.1645211019</v>
      </c>
      <c r="M990" s="74"/>
      <c r="N990" s="74"/>
      <c r="O990" s="454"/>
      <c r="P990" s="283"/>
      <c r="Q990" s="74"/>
      <c r="R990" s="234"/>
      <c r="S990" s="74"/>
      <c r="T990" s="74"/>
      <c r="U990" s="234"/>
      <c r="V990" s="74"/>
      <c r="W990" s="74"/>
      <c r="X990" s="256"/>
      <c r="Y990" s="397"/>
      <c r="Z990" s="74"/>
      <c r="AA990" s="234"/>
      <c r="AB990" s="74"/>
      <c r="AC990" s="74"/>
      <c r="AD990" s="256"/>
      <c r="AE990" s="74"/>
      <c r="AF990" s="74"/>
      <c r="AG990" s="234"/>
      <c r="AH990" s="74"/>
      <c r="AI990" s="74"/>
      <c r="AJ990" s="234"/>
      <c r="AK990" s="74"/>
      <c r="AL990" s="74"/>
      <c r="AM990" s="234"/>
      <c r="AN990" s="74"/>
      <c r="AO990" s="74"/>
      <c r="AP990" s="234"/>
      <c r="AQ990" s="127"/>
    </row>
    <row r="991" spans="1:59" s="511" customFormat="1" ht="22.5" customHeight="1" thickBot="1" x14ac:dyDescent="0.25">
      <c r="A991" s="395"/>
      <c r="B991" s="396"/>
      <c r="C991" s="396"/>
      <c r="D991" s="396"/>
      <c r="E991" s="345"/>
      <c r="F991" s="346"/>
      <c r="G991" s="1401" t="s">
        <v>1169</v>
      </c>
      <c r="H991" s="1401"/>
      <c r="I991" s="1401"/>
      <c r="J991" s="283"/>
      <c r="K991" s="74"/>
      <c r="L991" s="971">
        <f>L937+L169</f>
        <v>360634.70299999998</v>
      </c>
      <c r="M991" s="74"/>
      <c r="N991" s="74"/>
      <c r="O991" s="257"/>
      <c r="P991" s="283"/>
      <c r="Q991" s="74"/>
      <c r="R991" s="234"/>
      <c r="S991" s="74"/>
      <c r="T991" s="74"/>
      <c r="U991" s="234"/>
      <c r="V991" s="74"/>
      <c r="W991" s="74"/>
      <c r="X991" s="256"/>
      <c r="Y991" s="397"/>
      <c r="Z991" s="74"/>
      <c r="AA991" s="234"/>
      <c r="AB991" s="74"/>
      <c r="AC991" s="74"/>
      <c r="AD991" s="256"/>
      <c r="AE991" s="74"/>
      <c r="AF991" s="74"/>
      <c r="AG991" s="234"/>
      <c r="AH991" s="74"/>
      <c r="AI991" s="74"/>
      <c r="AJ991" s="234"/>
      <c r="AK991" s="74"/>
      <c r="AL991" s="74"/>
      <c r="AM991" s="234"/>
      <c r="AN991" s="74"/>
      <c r="AO991" s="74"/>
      <c r="AP991" s="234"/>
      <c r="AQ991" s="127"/>
    </row>
    <row r="992" spans="1:59" ht="22.5" customHeight="1" x14ac:dyDescent="0.25">
      <c r="A992" s="1637" t="s">
        <v>6</v>
      </c>
      <c r="B992" s="1638"/>
      <c r="C992" s="1638"/>
      <c r="D992" s="1638"/>
      <c r="E992" s="1638"/>
      <c r="F992" s="1638"/>
      <c r="G992" s="1638"/>
      <c r="H992" s="1639"/>
      <c r="I992" s="1451" t="s">
        <v>7</v>
      </c>
      <c r="J992" s="86">
        <f>J170+J938</f>
        <v>168.30699999999996</v>
      </c>
      <c r="K992" s="963" t="s">
        <v>2</v>
      </c>
      <c r="L992" s="1266">
        <f>L170+L938</f>
        <v>2178709.8975211028</v>
      </c>
      <c r="M992" s="69"/>
      <c r="N992" s="963"/>
      <c r="O992" s="1451" t="s">
        <v>7</v>
      </c>
      <c r="P992" s="86">
        <f>P170+P938</f>
        <v>190.41199999999998</v>
      </c>
      <c r="Q992" s="963" t="s">
        <v>2</v>
      </c>
      <c r="R992" s="1266">
        <f>R170+R938</f>
        <v>2639948.0979999998</v>
      </c>
      <c r="S992" s="963"/>
      <c r="T992" s="963"/>
      <c r="U992" s="1435" t="s">
        <v>7</v>
      </c>
      <c r="V992" s="86">
        <f>V170+V938</f>
        <v>114.816</v>
      </c>
      <c r="W992" s="963" t="s">
        <v>2</v>
      </c>
      <c r="X992" s="1266">
        <f>X170+X938</f>
        <v>1327990.6148099997</v>
      </c>
      <c r="Y992" s="159"/>
      <c r="Z992" s="963"/>
      <c r="AA992" s="1435" t="s">
        <v>7</v>
      </c>
      <c r="AB992" s="86">
        <f>AB170+AB938</f>
        <v>111.17400000000001</v>
      </c>
      <c r="AC992" s="963" t="s">
        <v>2</v>
      </c>
      <c r="AD992" s="1266">
        <f>AD170+AD938</f>
        <v>1107630.9749652003</v>
      </c>
      <c r="AE992" s="963"/>
      <c r="AF992" s="963"/>
      <c r="AG992" s="1435" t="s">
        <v>7</v>
      </c>
      <c r="AH992" s="1012">
        <f>AH170+AH938</f>
        <v>53.519999999999996</v>
      </c>
      <c r="AI992" s="963" t="s">
        <v>2</v>
      </c>
      <c r="AJ992" s="1677">
        <f>AJ170+AJ938</f>
        <v>1213722.12029</v>
      </c>
      <c r="AK992" s="963"/>
      <c r="AL992" s="963"/>
      <c r="AM992" s="1435" t="s">
        <v>7</v>
      </c>
      <c r="AN992" s="1012">
        <f>AN170+AN938</f>
        <v>45.040000000000006</v>
      </c>
      <c r="AO992" s="963" t="s">
        <v>2</v>
      </c>
      <c r="AP992" s="1677">
        <f>AP170+AP938</f>
        <v>1218445.6431499999</v>
      </c>
      <c r="AQ992" s="963"/>
    </row>
    <row r="993" spans="1:43" ht="15" x14ac:dyDescent="0.25">
      <c r="A993" s="1640"/>
      <c r="B993" s="1641"/>
      <c r="C993" s="1641"/>
      <c r="D993" s="1641"/>
      <c r="E993" s="1641"/>
      <c r="F993" s="1641"/>
      <c r="G993" s="1641"/>
      <c r="H993" s="1642"/>
      <c r="I993" s="1452"/>
      <c r="J993" s="1012">
        <f>J171+J939</f>
        <v>1046170.75</v>
      </c>
      <c r="K993" s="963" t="s">
        <v>4</v>
      </c>
      <c r="L993" s="1267"/>
      <c r="M993" s="69"/>
      <c r="N993" s="963"/>
      <c r="O993" s="1452"/>
      <c r="P993" s="1012">
        <f>P171+P939</f>
        <v>1241888.2200000002</v>
      </c>
      <c r="Q993" s="963" t="s">
        <v>4</v>
      </c>
      <c r="R993" s="1268"/>
      <c r="S993" s="963"/>
      <c r="T993" s="963"/>
      <c r="U993" s="1437"/>
      <c r="V993" s="1012">
        <f>V171+V939</f>
        <v>768488.24</v>
      </c>
      <c r="W993" s="963" t="s">
        <v>4</v>
      </c>
      <c r="X993" s="1268"/>
      <c r="Y993" s="963"/>
      <c r="Z993" s="963"/>
      <c r="AA993" s="1437"/>
      <c r="AB993" s="1012">
        <f>AB171+AB939</f>
        <v>823162.30393754761</v>
      </c>
      <c r="AC993" s="963" t="s">
        <v>4</v>
      </c>
      <c r="AD993" s="1268"/>
      <c r="AE993" s="963"/>
      <c r="AF993" s="963"/>
      <c r="AG993" s="1437"/>
      <c r="AH993" s="1012">
        <f>AH171+AH939</f>
        <v>328367</v>
      </c>
      <c r="AI993" s="963" t="s">
        <v>4</v>
      </c>
      <c r="AJ993" s="1677"/>
      <c r="AK993" s="963"/>
      <c r="AL993" s="963"/>
      <c r="AM993" s="1437"/>
      <c r="AN993" s="1012">
        <f>AN171+AN939</f>
        <v>258209</v>
      </c>
      <c r="AO993" s="963" t="s">
        <v>4</v>
      </c>
      <c r="AP993" s="1677"/>
      <c r="AQ993" s="963"/>
    </row>
    <row r="994" spans="1:43" s="23" customFormat="1" x14ac:dyDescent="0.25">
      <c r="A994" s="1640"/>
      <c r="B994" s="1641"/>
      <c r="C994" s="1641"/>
      <c r="D994" s="1641"/>
      <c r="E994" s="1641"/>
      <c r="F994" s="1641"/>
      <c r="G994" s="1641"/>
      <c r="H994" s="1642"/>
      <c r="I994" s="1269" t="s">
        <v>1168</v>
      </c>
      <c r="J994" s="1269"/>
      <c r="K994" s="1269"/>
      <c r="L994" s="1061"/>
      <c r="M994" s="97"/>
      <c r="N994" s="887"/>
      <c r="O994" s="1096"/>
      <c r="P994" s="1061"/>
      <c r="Q994" s="887"/>
      <c r="R994" s="958"/>
      <c r="S994" s="887"/>
      <c r="T994" s="887"/>
      <c r="U994" s="1134"/>
      <c r="V994" s="1061"/>
      <c r="W994" s="887"/>
      <c r="X994" s="958"/>
      <c r="Y994" s="887"/>
      <c r="Z994" s="887"/>
      <c r="AA994" s="1134"/>
      <c r="AB994" s="1061"/>
      <c r="AC994" s="887"/>
      <c r="AD994" s="958"/>
      <c r="AE994" s="887"/>
      <c r="AF994" s="887"/>
      <c r="AG994" s="1134"/>
      <c r="AH994" s="1061"/>
      <c r="AI994" s="887"/>
      <c r="AJ994" s="958"/>
      <c r="AK994" s="887"/>
      <c r="AL994" s="887"/>
      <c r="AM994" s="1134"/>
      <c r="AN994" s="1061"/>
      <c r="AO994" s="887"/>
      <c r="AP994" s="958"/>
      <c r="AQ994" s="887"/>
    </row>
    <row r="995" spans="1:43" s="23" customFormat="1" x14ac:dyDescent="0.25">
      <c r="A995" s="1640"/>
      <c r="B995" s="1641"/>
      <c r="C995" s="1641"/>
      <c r="D995" s="1641"/>
      <c r="E995" s="1641"/>
      <c r="F995" s="1641"/>
      <c r="G995" s="1641"/>
      <c r="H995" s="1642"/>
      <c r="I995" s="1269" t="s">
        <v>1170</v>
      </c>
      <c r="J995" s="1269"/>
      <c r="K995" s="1269"/>
      <c r="L995" s="1061">
        <f>L992-L996</f>
        <v>1818075.1945211028</v>
      </c>
      <c r="M995" s="97"/>
      <c r="N995" s="887"/>
      <c r="O995" s="1096"/>
      <c r="P995" s="1061"/>
      <c r="Q995" s="887"/>
      <c r="R995" s="958"/>
      <c r="S995" s="887"/>
      <c r="T995" s="887"/>
      <c r="U995" s="1134"/>
      <c r="V995" s="1061"/>
      <c r="W995" s="887"/>
      <c r="X995" s="958"/>
      <c r="Y995" s="887"/>
      <c r="Z995" s="887"/>
      <c r="AA995" s="1134"/>
      <c r="AB995" s="1061"/>
      <c r="AC995" s="887"/>
      <c r="AD995" s="958"/>
      <c r="AE995" s="887"/>
      <c r="AF995" s="887"/>
      <c r="AG995" s="1134"/>
      <c r="AH995" s="1061"/>
      <c r="AI995" s="887"/>
      <c r="AJ995" s="958"/>
      <c r="AK995" s="887"/>
      <c r="AL995" s="887"/>
      <c r="AM995" s="1134"/>
      <c r="AN995" s="1061"/>
      <c r="AO995" s="887"/>
      <c r="AP995" s="958"/>
      <c r="AQ995" s="887"/>
    </row>
    <row r="996" spans="1:43" s="23" customFormat="1" x14ac:dyDescent="0.25">
      <c r="A996" s="1640"/>
      <c r="B996" s="1641"/>
      <c r="C996" s="1641"/>
      <c r="D996" s="1641"/>
      <c r="E996" s="1641"/>
      <c r="F996" s="1641"/>
      <c r="G996" s="1641"/>
      <c r="H996" s="1642"/>
      <c r="I996" s="1269" t="s">
        <v>1169</v>
      </c>
      <c r="J996" s="1269"/>
      <c r="K996" s="1269"/>
      <c r="L996" s="1061">
        <f>L991</f>
        <v>360634.70299999998</v>
      </c>
      <c r="M996" s="97"/>
      <c r="N996" s="887"/>
      <c r="O996" s="1096"/>
      <c r="P996" s="1061"/>
      <c r="Q996" s="887"/>
      <c r="R996" s="958"/>
      <c r="S996" s="887"/>
      <c r="T996" s="887"/>
      <c r="U996" s="1134"/>
      <c r="V996" s="1061"/>
      <c r="W996" s="887"/>
      <c r="X996" s="958"/>
      <c r="Y996" s="887"/>
      <c r="Z996" s="887"/>
      <c r="AA996" s="1134"/>
      <c r="AB996" s="1061"/>
      <c r="AC996" s="887"/>
      <c r="AD996" s="958"/>
      <c r="AE996" s="887"/>
      <c r="AF996" s="887"/>
      <c r="AG996" s="1134"/>
      <c r="AH996" s="1061"/>
      <c r="AI996" s="887"/>
      <c r="AJ996" s="958"/>
      <c r="AK996" s="887"/>
      <c r="AL996" s="887"/>
      <c r="AM996" s="1134"/>
      <c r="AN996" s="1061"/>
      <c r="AO996" s="887"/>
      <c r="AP996" s="958"/>
      <c r="AQ996" s="887"/>
    </row>
    <row r="997" spans="1:43" ht="15" x14ac:dyDescent="0.25">
      <c r="A997" s="1640"/>
      <c r="B997" s="1641"/>
      <c r="C997" s="1641"/>
      <c r="D997" s="1641"/>
      <c r="E997" s="1641"/>
      <c r="F997" s="1641"/>
      <c r="G997" s="1641"/>
      <c r="H997" s="1642"/>
      <c r="I997" s="1451" t="s">
        <v>29</v>
      </c>
      <c r="J997" s="1012">
        <f>J175+J943</f>
        <v>0</v>
      </c>
      <c r="K997" s="963" t="s">
        <v>2</v>
      </c>
      <c r="L997" s="1266">
        <f>L175+L943</f>
        <v>0</v>
      </c>
      <c r="M997" s="69"/>
      <c r="N997" s="963"/>
      <c r="O997" s="1451" t="s">
        <v>29</v>
      </c>
      <c r="P997" s="1012">
        <f>P175+P943</f>
        <v>0</v>
      </c>
      <c r="Q997" s="963" t="s">
        <v>2</v>
      </c>
      <c r="R997" s="1266">
        <f>R175+R943</f>
        <v>0</v>
      </c>
      <c r="S997" s="963"/>
      <c r="T997" s="963"/>
      <c r="U997" s="1435" t="s">
        <v>29</v>
      </c>
      <c r="V997" s="1012">
        <f>V175+V943</f>
        <v>0</v>
      </c>
      <c r="W997" s="963" t="s">
        <v>2</v>
      </c>
      <c r="X997" s="1266">
        <f>X175+X943</f>
        <v>0</v>
      </c>
      <c r="Y997" s="963"/>
      <c r="Z997" s="963"/>
      <c r="AA997" s="1435" t="s">
        <v>29</v>
      </c>
      <c r="AB997" s="1012">
        <f>AB175+AB943</f>
        <v>0</v>
      </c>
      <c r="AC997" s="963" t="s">
        <v>2</v>
      </c>
      <c r="AD997" s="1266">
        <f>AD175+AD943</f>
        <v>0</v>
      </c>
      <c r="AE997" s="963"/>
      <c r="AF997" s="963"/>
      <c r="AG997" s="1435" t="s">
        <v>29</v>
      </c>
      <c r="AH997" s="1012">
        <f>AH175+AH943</f>
        <v>0</v>
      </c>
      <c r="AI997" s="963" t="s">
        <v>2</v>
      </c>
      <c r="AJ997" s="1266">
        <f>AJ175+AJ943</f>
        <v>0</v>
      </c>
      <c r="AK997" s="963"/>
      <c r="AL997" s="963"/>
      <c r="AM997" s="1435" t="s">
        <v>29</v>
      </c>
      <c r="AN997" s="1012">
        <f>AN175+AN943</f>
        <v>0</v>
      </c>
      <c r="AO997" s="963" t="s">
        <v>2</v>
      </c>
      <c r="AP997" s="1266">
        <f>AP175+AP943</f>
        <v>0</v>
      </c>
      <c r="AQ997" s="963"/>
    </row>
    <row r="998" spans="1:43" ht="15" x14ac:dyDescent="0.25">
      <c r="A998" s="1640"/>
      <c r="B998" s="1641"/>
      <c r="C998" s="1641"/>
      <c r="D998" s="1641"/>
      <c r="E998" s="1641"/>
      <c r="F998" s="1641"/>
      <c r="G998" s="1641"/>
      <c r="H998" s="1642"/>
      <c r="I998" s="1452"/>
      <c r="J998" s="1012">
        <f>J176+J944</f>
        <v>0</v>
      </c>
      <c r="K998" s="963" t="s">
        <v>4</v>
      </c>
      <c r="L998" s="1267"/>
      <c r="M998" s="69"/>
      <c r="N998" s="963"/>
      <c r="O998" s="1452"/>
      <c r="P998" s="1012">
        <f>P176+P944</f>
        <v>0</v>
      </c>
      <c r="Q998" s="963" t="s">
        <v>4</v>
      </c>
      <c r="R998" s="1267"/>
      <c r="S998" s="963"/>
      <c r="T998" s="963"/>
      <c r="U998" s="1437"/>
      <c r="V998" s="1012">
        <f>V176+V944</f>
        <v>0</v>
      </c>
      <c r="W998" s="963" t="s">
        <v>4</v>
      </c>
      <c r="X998" s="1267"/>
      <c r="Y998" s="963"/>
      <c r="Z998" s="963"/>
      <c r="AA998" s="1437"/>
      <c r="AB998" s="1012">
        <f>AB176+AB944</f>
        <v>0</v>
      </c>
      <c r="AC998" s="963" t="s">
        <v>4</v>
      </c>
      <c r="AD998" s="1267"/>
      <c r="AE998" s="963"/>
      <c r="AF998" s="963"/>
      <c r="AG998" s="1437"/>
      <c r="AH998" s="1012">
        <f>AH176+AH944</f>
        <v>0</v>
      </c>
      <c r="AI998" s="963" t="s">
        <v>4</v>
      </c>
      <c r="AJ998" s="1267"/>
      <c r="AK998" s="963"/>
      <c r="AL998" s="963"/>
      <c r="AM998" s="1437"/>
      <c r="AN998" s="1012">
        <f>AN176+AN944</f>
        <v>0</v>
      </c>
      <c r="AO998" s="963" t="s">
        <v>4</v>
      </c>
      <c r="AP998" s="1267"/>
      <c r="AQ998" s="963"/>
    </row>
    <row r="999" spans="1:43" ht="15" x14ac:dyDescent="0.25">
      <c r="A999" s="1640"/>
      <c r="B999" s="1641"/>
      <c r="C999" s="1641"/>
      <c r="D999" s="1641"/>
      <c r="E999" s="1641"/>
      <c r="F999" s="1641"/>
      <c r="G999" s="1641"/>
      <c r="H999" s="1642"/>
      <c r="I999" s="1451" t="s">
        <v>30</v>
      </c>
      <c r="J999" s="1012">
        <f>J177+J945</f>
        <v>0.56691000000000003</v>
      </c>
      <c r="K999" s="963" t="s">
        <v>2</v>
      </c>
      <c r="L999" s="1266">
        <f>L177+L945</f>
        <v>31412.484</v>
      </c>
      <c r="M999" s="69"/>
      <c r="N999" s="963"/>
      <c r="O999" s="1451" t="s">
        <v>30</v>
      </c>
      <c r="P999" s="677">
        <f>P177+P945</f>
        <v>6.2778</v>
      </c>
      <c r="Q999" s="963" t="s">
        <v>2</v>
      </c>
      <c r="R999" s="1266">
        <f>R177+R945</f>
        <v>202646.20881000004</v>
      </c>
      <c r="S999" s="963"/>
      <c r="T999" s="963"/>
      <c r="U999" s="1435" t="s">
        <v>30</v>
      </c>
      <c r="V999" s="1012">
        <f>V177+V945</f>
        <v>0</v>
      </c>
      <c r="W999" s="963" t="s">
        <v>2</v>
      </c>
      <c r="X999" s="1266">
        <f>X177+X945</f>
        <v>0</v>
      </c>
      <c r="Y999" s="963"/>
      <c r="Z999" s="963"/>
      <c r="AA999" s="1435" t="s">
        <v>30</v>
      </c>
      <c r="AB999" s="1012">
        <f>AB177+AB945</f>
        <v>0</v>
      </c>
      <c r="AC999" s="963" t="s">
        <v>2</v>
      </c>
      <c r="AD999" s="1266">
        <f>AD177+AD945</f>
        <v>0</v>
      </c>
      <c r="AE999" s="963"/>
      <c r="AF999" s="963"/>
      <c r="AG999" s="1435" t="s">
        <v>30</v>
      </c>
      <c r="AH999" s="1012">
        <f>AH177+AH945</f>
        <v>0</v>
      </c>
      <c r="AI999" s="963" t="s">
        <v>2</v>
      </c>
      <c r="AJ999" s="1266">
        <f>AJ177+AJ945</f>
        <v>0</v>
      </c>
      <c r="AK999" s="963"/>
      <c r="AL999" s="963"/>
      <c r="AM999" s="1435" t="s">
        <v>30</v>
      </c>
      <c r="AN999" s="1012">
        <f>AN177+AN945</f>
        <v>0</v>
      </c>
      <c r="AO999" s="963" t="s">
        <v>2</v>
      </c>
      <c r="AP999" s="1266">
        <f>AP177+AP945</f>
        <v>0</v>
      </c>
      <c r="AQ999" s="963"/>
    </row>
    <row r="1000" spans="1:43" ht="15" x14ac:dyDescent="0.25">
      <c r="A1000" s="1640"/>
      <c r="B1000" s="1641"/>
      <c r="C1000" s="1641"/>
      <c r="D1000" s="1641"/>
      <c r="E1000" s="1641"/>
      <c r="F1000" s="1641"/>
      <c r="G1000" s="1641"/>
      <c r="H1000" s="1642"/>
      <c r="I1000" s="1452"/>
      <c r="J1000" s="1012">
        <f>J178+J946</f>
        <v>5254</v>
      </c>
      <c r="K1000" s="963" t="s">
        <v>4</v>
      </c>
      <c r="L1000" s="1267"/>
      <c r="M1000" s="69"/>
      <c r="N1000" s="963"/>
      <c r="O1000" s="1452"/>
      <c r="P1000" s="1012">
        <f>P178+P946</f>
        <v>46772.66</v>
      </c>
      <c r="Q1000" s="963" t="s">
        <v>4</v>
      </c>
      <c r="R1000" s="1267"/>
      <c r="S1000" s="963"/>
      <c r="T1000" s="963"/>
      <c r="U1000" s="1437"/>
      <c r="V1000" s="1012">
        <f>V178+V946</f>
        <v>0</v>
      </c>
      <c r="W1000" s="963" t="s">
        <v>4</v>
      </c>
      <c r="X1000" s="1267"/>
      <c r="Y1000" s="963"/>
      <c r="Z1000" s="963"/>
      <c r="AA1000" s="1437"/>
      <c r="AB1000" s="1012">
        <f>AB178+AB946</f>
        <v>0</v>
      </c>
      <c r="AC1000" s="963" t="s">
        <v>4</v>
      </c>
      <c r="AD1000" s="1267"/>
      <c r="AE1000" s="963"/>
      <c r="AF1000" s="963"/>
      <c r="AG1000" s="1437"/>
      <c r="AH1000" s="1012">
        <f>AH178+AH946</f>
        <v>0</v>
      </c>
      <c r="AI1000" s="963" t="s">
        <v>4</v>
      </c>
      <c r="AJ1000" s="1267"/>
      <c r="AK1000" s="963"/>
      <c r="AL1000" s="963"/>
      <c r="AM1000" s="1437"/>
      <c r="AN1000" s="1012">
        <f>AN178+AN946</f>
        <v>0</v>
      </c>
      <c r="AO1000" s="963" t="s">
        <v>4</v>
      </c>
      <c r="AP1000" s="1267"/>
      <c r="AQ1000" s="963"/>
    </row>
    <row r="1001" spans="1:43" ht="15" x14ac:dyDescent="0.25">
      <c r="A1001" s="1640"/>
      <c r="B1001" s="1641"/>
      <c r="C1001" s="1641"/>
      <c r="D1001" s="1641"/>
      <c r="E1001" s="1641"/>
      <c r="F1001" s="1641"/>
      <c r="G1001" s="1641"/>
      <c r="H1001" s="1642"/>
      <c r="I1001" s="1451" t="s">
        <v>31</v>
      </c>
      <c r="J1001" s="1012">
        <f t="shared" ref="J1001:J1027" si="12">J182+J947</f>
        <v>0</v>
      </c>
      <c r="K1001" s="963" t="s">
        <v>2</v>
      </c>
      <c r="L1001" s="1266">
        <f>L182+L947</f>
        <v>2308881.92</v>
      </c>
      <c r="M1001" s="69"/>
      <c r="N1001" s="963"/>
      <c r="O1001" s="1451" t="s">
        <v>31</v>
      </c>
      <c r="P1001" s="1012">
        <f t="shared" ref="P1001:P1027" si="13">P182+P947</f>
        <v>0</v>
      </c>
      <c r="Q1001" s="963" t="s">
        <v>2</v>
      </c>
      <c r="R1001" s="1266">
        <f>R182+R947</f>
        <v>3067811.91653</v>
      </c>
      <c r="S1001" s="963"/>
      <c r="T1001" s="963"/>
      <c r="U1001" s="1435" t="s">
        <v>31</v>
      </c>
      <c r="V1001" s="1012">
        <f t="shared" ref="V1001:V1027" si="14">V182+V947</f>
        <v>0</v>
      </c>
      <c r="W1001" s="963" t="s">
        <v>2</v>
      </c>
      <c r="X1001" s="1266">
        <f>X182+X947</f>
        <v>3903710.57008</v>
      </c>
      <c r="Y1001" s="963"/>
      <c r="Z1001" s="963"/>
      <c r="AA1001" s="1435" t="s">
        <v>31</v>
      </c>
      <c r="AB1001" s="86">
        <f t="shared" ref="AB1001:AB1027" si="15">AB182+AB947</f>
        <v>21.73</v>
      </c>
      <c r="AC1001" s="963" t="s">
        <v>2</v>
      </c>
      <c r="AD1001" s="1266">
        <f>AD182+AD947</f>
        <v>0.01</v>
      </c>
      <c r="AE1001" s="963"/>
      <c r="AF1001" s="963"/>
      <c r="AG1001" s="1435" t="s">
        <v>31</v>
      </c>
      <c r="AH1001" s="1012">
        <f t="shared" ref="AH1001:AH1027" si="16">AH182+AH947</f>
        <v>0</v>
      </c>
      <c r="AI1001" s="963" t="s">
        <v>2</v>
      </c>
      <c r="AJ1001" s="1266">
        <f>AJ182+AJ947</f>
        <v>0</v>
      </c>
      <c r="AK1001" s="963"/>
      <c r="AL1001" s="963"/>
      <c r="AM1001" s="1435" t="s">
        <v>31</v>
      </c>
      <c r="AN1001" s="1012">
        <f t="shared" ref="AN1001:AN1027" si="17">AN182+AN947</f>
        <v>0</v>
      </c>
      <c r="AO1001" s="963" t="s">
        <v>2</v>
      </c>
      <c r="AP1001" s="1266">
        <f>AP182+AP947</f>
        <v>0</v>
      </c>
      <c r="AQ1001" s="963"/>
    </row>
    <row r="1002" spans="1:43" ht="15" x14ac:dyDescent="0.25">
      <c r="A1002" s="1640"/>
      <c r="B1002" s="1641"/>
      <c r="C1002" s="1641"/>
      <c r="D1002" s="1641"/>
      <c r="E1002" s="1641"/>
      <c r="F1002" s="1641"/>
      <c r="G1002" s="1641"/>
      <c r="H1002" s="1642"/>
      <c r="I1002" s="1452"/>
      <c r="J1002" s="1012">
        <f t="shared" si="12"/>
        <v>0</v>
      </c>
      <c r="K1002" s="963" t="s">
        <v>4</v>
      </c>
      <c r="L1002" s="1267"/>
      <c r="M1002" s="69"/>
      <c r="N1002" s="963"/>
      <c r="O1002" s="1452"/>
      <c r="P1002" s="1012">
        <f t="shared" si="13"/>
        <v>0</v>
      </c>
      <c r="Q1002" s="963" t="s">
        <v>4</v>
      </c>
      <c r="R1002" s="1267"/>
      <c r="S1002" s="963"/>
      <c r="T1002" s="963"/>
      <c r="U1002" s="1437"/>
      <c r="V1002" s="1012">
        <f t="shared" si="14"/>
        <v>0</v>
      </c>
      <c r="W1002" s="963" t="s">
        <v>4</v>
      </c>
      <c r="X1002" s="1267"/>
      <c r="Y1002" s="963"/>
      <c r="Z1002" s="963"/>
      <c r="AA1002" s="1437"/>
      <c r="AB1002" s="1012">
        <f t="shared" si="15"/>
        <v>2751700</v>
      </c>
      <c r="AC1002" s="963" t="s">
        <v>4</v>
      </c>
      <c r="AD1002" s="1268"/>
      <c r="AE1002" s="963"/>
      <c r="AF1002" s="963"/>
      <c r="AG1002" s="1437"/>
      <c r="AH1002" s="1012">
        <f t="shared" si="16"/>
        <v>0</v>
      </c>
      <c r="AI1002" s="963" t="s">
        <v>4</v>
      </c>
      <c r="AJ1002" s="1267"/>
      <c r="AK1002" s="963"/>
      <c r="AL1002" s="963"/>
      <c r="AM1002" s="1437"/>
      <c r="AN1002" s="1012">
        <f t="shared" si="17"/>
        <v>0</v>
      </c>
      <c r="AO1002" s="963" t="s">
        <v>4</v>
      </c>
      <c r="AP1002" s="1267"/>
      <c r="AQ1002" s="963"/>
    </row>
    <row r="1003" spans="1:43" ht="15" x14ac:dyDescent="0.25">
      <c r="A1003" s="1640"/>
      <c r="B1003" s="1641"/>
      <c r="C1003" s="1641"/>
      <c r="D1003" s="1641"/>
      <c r="E1003" s="1641"/>
      <c r="F1003" s="1641"/>
      <c r="G1003" s="1641"/>
      <c r="H1003" s="1642"/>
      <c r="I1003" s="1451" t="s">
        <v>1126</v>
      </c>
      <c r="J1003" s="1012">
        <f t="shared" si="12"/>
        <v>0</v>
      </c>
      <c r="K1003" s="963" t="s">
        <v>1132</v>
      </c>
      <c r="L1003" s="1266">
        <f>L949+L184</f>
        <v>0</v>
      </c>
      <c r="M1003" s="69"/>
      <c r="N1003" s="963"/>
      <c r="O1003" s="1451" t="s">
        <v>1126</v>
      </c>
      <c r="P1003" s="1012">
        <f t="shared" si="13"/>
        <v>0</v>
      </c>
      <c r="Q1003" s="963" t="s">
        <v>1132</v>
      </c>
      <c r="R1003" s="1266">
        <f>R949+R184</f>
        <v>0</v>
      </c>
      <c r="S1003" s="963"/>
      <c r="T1003" s="963"/>
      <c r="U1003" s="1435" t="s">
        <v>1126</v>
      </c>
      <c r="V1003" s="1012">
        <f t="shared" si="14"/>
        <v>0</v>
      </c>
      <c r="W1003" s="963" t="s">
        <v>1132</v>
      </c>
      <c r="X1003" s="1266">
        <f>X949+X184</f>
        <v>0</v>
      </c>
      <c r="Y1003" s="963"/>
      <c r="Z1003" s="963"/>
      <c r="AA1003" s="1435" t="s">
        <v>1126</v>
      </c>
      <c r="AB1003" s="1012">
        <f t="shared" si="15"/>
        <v>0</v>
      </c>
      <c r="AC1003" s="963" t="s">
        <v>1132</v>
      </c>
      <c r="AD1003" s="1266">
        <f>AD949+AD184</f>
        <v>0</v>
      </c>
      <c r="AE1003" s="963"/>
      <c r="AF1003" s="963"/>
      <c r="AG1003" s="1435" t="s">
        <v>1126</v>
      </c>
      <c r="AH1003" s="1012">
        <f t="shared" si="16"/>
        <v>0</v>
      </c>
      <c r="AI1003" s="963" t="s">
        <v>1132</v>
      </c>
      <c r="AJ1003" s="1266">
        <f>AJ949+AJ184</f>
        <v>0</v>
      </c>
      <c r="AK1003" s="963"/>
      <c r="AL1003" s="963"/>
      <c r="AM1003" s="1435" t="s">
        <v>1126</v>
      </c>
      <c r="AN1003" s="1012">
        <f t="shared" si="17"/>
        <v>0</v>
      </c>
      <c r="AO1003" s="963" t="s">
        <v>1132</v>
      </c>
      <c r="AP1003" s="1266">
        <f>AP949+AP184</f>
        <v>0</v>
      </c>
      <c r="AQ1003" s="963"/>
    </row>
    <row r="1004" spans="1:43" ht="15" x14ac:dyDescent="0.25">
      <c r="A1004" s="1640"/>
      <c r="B1004" s="1641"/>
      <c r="C1004" s="1641"/>
      <c r="D1004" s="1641"/>
      <c r="E1004" s="1641"/>
      <c r="F1004" s="1641"/>
      <c r="G1004" s="1641"/>
      <c r="H1004" s="1642"/>
      <c r="I1004" s="1456"/>
      <c r="J1004" s="1012">
        <f t="shared" si="12"/>
        <v>0</v>
      </c>
      <c r="K1004" s="963" t="s">
        <v>2</v>
      </c>
      <c r="L1004" s="1267"/>
      <c r="M1004" s="69"/>
      <c r="N1004" s="963"/>
      <c r="O1004" s="1456"/>
      <c r="P1004" s="1012">
        <f t="shared" si="13"/>
        <v>0</v>
      </c>
      <c r="Q1004" s="963" t="s">
        <v>2</v>
      </c>
      <c r="R1004" s="1267"/>
      <c r="S1004" s="963"/>
      <c r="T1004" s="963"/>
      <c r="U1004" s="1436"/>
      <c r="V1004" s="1012">
        <f t="shared" si="14"/>
        <v>0</v>
      </c>
      <c r="W1004" s="963" t="s">
        <v>2</v>
      </c>
      <c r="X1004" s="1267"/>
      <c r="Y1004" s="963"/>
      <c r="Z1004" s="963"/>
      <c r="AA1004" s="1436"/>
      <c r="AB1004" s="1012">
        <f t="shared" si="15"/>
        <v>0</v>
      </c>
      <c r="AC1004" s="963" t="s">
        <v>2</v>
      </c>
      <c r="AD1004" s="1267"/>
      <c r="AE1004" s="963"/>
      <c r="AF1004" s="963"/>
      <c r="AG1004" s="1436"/>
      <c r="AH1004" s="1012">
        <f t="shared" si="16"/>
        <v>0</v>
      </c>
      <c r="AI1004" s="963" t="s">
        <v>2</v>
      </c>
      <c r="AJ1004" s="1267"/>
      <c r="AK1004" s="963"/>
      <c r="AL1004" s="963"/>
      <c r="AM1004" s="1436"/>
      <c r="AN1004" s="1012">
        <f t="shared" si="17"/>
        <v>0</v>
      </c>
      <c r="AO1004" s="963" t="s">
        <v>2</v>
      </c>
      <c r="AP1004" s="1267"/>
      <c r="AQ1004" s="963"/>
    </row>
    <row r="1005" spans="1:43" ht="15" x14ac:dyDescent="0.25">
      <c r="A1005" s="1640"/>
      <c r="B1005" s="1641"/>
      <c r="C1005" s="1641"/>
      <c r="D1005" s="1641"/>
      <c r="E1005" s="1641"/>
      <c r="F1005" s="1641"/>
      <c r="G1005" s="1641"/>
      <c r="H1005" s="1642"/>
      <c r="I1005" s="1452"/>
      <c r="J1005" s="1012">
        <f t="shared" si="12"/>
        <v>0</v>
      </c>
      <c r="K1005" s="963" t="s">
        <v>4</v>
      </c>
      <c r="L1005" s="1268"/>
      <c r="M1005" s="69"/>
      <c r="N1005" s="963"/>
      <c r="O1005" s="1452"/>
      <c r="P1005" s="1012">
        <f t="shared" si="13"/>
        <v>0</v>
      </c>
      <c r="Q1005" s="963" t="s">
        <v>4</v>
      </c>
      <c r="R1005" s="1268"/>
      <c r="S1005" s="963"/>
      <c r="T1005" s="963"/>
      <c r="U1005" s="1437"/>
      <c r="V1005" s="1012">
        <f t="shared" si="14"/>
        <v>0</v>
      </c>
      <c r="W1005" s="963" t="s">
        <v>4</v>
      </c>
      <c r="X1005" s="1268"/>
      <c r="Y1005" s="963"/>
      <c r="Z1005" s="963"/>
      <c r="AA1005" s="1437"/>
      <c r="AB1005" s="1012">
        <f t="shared" si="15"/>
        <v>0</v>
      </c>
      <c r="AC1005" s="963" t="s">
        <v>4</v>
      </c>
      <c r="AD1005" s="1268"/>
      <c r="AE1005" s="963"/>
      <c r="AF1005" s="963"/>
      <c r="AG1005" s="1437"/>
      <c r="AH1005" s="1012">
        <f t="shared" si="16"/>
        <v>0</v>
      </c>
      <c r="AI1005" s="963" t="s">
        <v>4</v>
      </c>
      <c r="AJ1005" s="1268"/>
      <c r="AK1005" s="963"/>
      <c r="AL1005" s="963"/>
      <c r="AM1005" s="1437"/>
      <c r="AN1005" s="1012">
        <f t="shared" si="17"/>
        <v>0</v>
      </c>
      <c r="AO1005" s="963" t="s">
        <v>4</v>
      </c>
      <c r="AP1005" s="1268"/>
      <c r="AQ1005" s="963"/>
    </row>
    <row r="1006" spans="1:43" ht="15" x14ac:dyDescent="0.25">
      <c r="A1006" s="1640"/>
      <c r="B1006" s="1641"/>
      <c r="C1006" s="1641"/>
      <c r="D1006" s="1641"/>
      <c r="E1006" s="1641"/>
      <c r="F1006" s="1641"/>
      <c r="G1006" s="1641"/>
      <c r="H1006" s="1642"/>
      <c r="I1006" s="1451" t="s">
        <v>1125</v>
      </c>
      <c r="J1006" s="1012">
        <f t="shared" si="12"/>
        <v>0</v>
      </c>
      <c r="K1006" s="963" t="s">
        <v>1132</v>
      </c>
      <c r="L1006" s="1266">
        <f>L952+L187</f>
        <v>0</v>
      </c>
      <c r="M1006" s="69"/>
      <c r="N1006" s="963"/>
      <c r="O1006" s="1451" t="s">
        <v>1125</v>
      </c>
      <c r="P1006" s="1012">
        <f t="shared" si="13"/>
        <v>0</v>
      </c>
      <c r="Q1006" s="963" t="s">
        <v>1132</v>
      </c>
      <c r="R1006" s="1266">
        <f>R952+R187</f>
        <v>0</v>
      </c>
      <c r="S1006" s="963"/>
      <c r="T1006" s="963"/>
      <c r="U1006" s="1435" t="s">
        <v>1125</v>
      </c>
      <c r="V1006" s="1012">
        <f t="shared" si="14"/>
        <v>0</v>
      </c>
      <c r="W1006" s="963" t="s">
        <v>1132</v>
      </c>
      <c r="X1006" s="1266">
        <f>X952+X187</f>
        <v>0</v>
      </c>
      <c r="Y1006" s="963"/>
      <c r="Z1006" s="963"/>
      <c r="AA1006" s="1435" t="s">
        <v>1125</v>
      </c>
      <c r="AB1006" s="1012">
        <f t="shared" si="15"/>
        <v>0</v>
      </c>
      <c r="AC1006" s="963" t="s">
        <v>1132</v>
      </c>
      <c r="AD1006" s="1266">
        <f>AD952+AD187</f>
        <v>0</v>
      </c>
      <c r="AE1006" s="963"/>
      <c r="AF1006" s="963"/>
      <c r="AG1006" s="1435" t="s">
        <v>1125</v>
      </c>
      <c r="AH1006" s="1012">
        <f t="shared" si="16"/>
        <v>0</v>
      </c>
      <c r="AI1006" s="963" t="s">
        <v>1132</v>
      </c>
      <c r="AJ1006" s="1266">
        <f>AJ952+AJ187</f>
        <v>0</v>
      </c>
      <c r="AK1006" s="963"/>
      <c r="AL1006" s="963"/>
      <c r="AM1006" s="1435" t="s">
        <v>1125</v>
      </c>
      <c r="AN1006" s="1012">
        <f t="shared" si="17"/>
        <v>0</v>
      </c>
      <c r="AO1006" s="963" t="s">
        <v>1132</v>
      </c>
      <c r="AP1006" s="1266">
        <f>AP952+AP187</f>
        <v>0</v>
      </c>
      <c r="AQ1006" s="963"/>
    </row>
    <row r="1007" spans="1:43" ht="15" x14ac:dyDescent="0.25">
      <c r="A1007" s="1640"/>
      <c r="B1007" s="1641"/>
      <c r="C1007" s="1641"/>
      <c r="D1007" s="1641"/>
      <c r="E1007" s="1641"/>
      <c r="F1007" s="1641"/>
      <c r="G1007" s="1641"/>
      <c r="H1007" s="1642"/>
      <c r="I1007" s="1456"/>
      <c r="J1007" s="1012">
        <f t="shared" si="12"/>
        <v>0</v>
      </c>
      <c r="K1007" s="963" t="s">
        <v>2</v>
      </c>
      <c r="L1007" s="1267"/>
      <c r="M1007" s="69"/>
      <c r="N1007" s="963"/>
      <c r="O1007" s="1456"/>
      <c r="P1007" s="1012">
        <f t="shared" si="13"/>
        <v>0</v>
      </c>
      <c r="Q1007" s="963" t="s">
        <v>2</v>
      </c>
      <c r="R1007" s="1267"/>
      <c r="S1007" s="963"/>
      <c r="T1007" s="963"/>
      <c r="U1007" s="1436"/>
      <c r="V1007" s="1012">
        <f t="shared" si="14"/>
        <v>0</v>
      </c>
      <c r="W1007" s="963" t="s">
        <v>2</v>
      </c>
      <c r="X1007" s="1267"/>
      <c r="Y1007" s="963"/>
      <c r="Z1007" s="963"/>
      <c r="AA1007" s="1436"/>
      <c r="AB1007" s="1012">
        <f t="shared" si="15"/>
        <v>0</v>
      </c>
      <c r="AC1007" s="963" t="s">
        <v>2</v>
      </c>
      <c r="AD1007" s="1267"/>
      <c r="AE1007" s="963"/>
      <c r="AF1007" s="963"/>
      <c r="AG1007" s="1436"/>
      <c r="AH1007" s="1012">
        <f t="shared" si="16"/>
        <v>0</v>
      </c>
      <c r="AI1007" s="963" t="s">
        <v>2</v>
      </c>
      <c r="AJ1007" s="1267"/>
      <c r="AK1007" s="963"/>
      <c r="AL1007" s="963"/>
      <c r="AM1007" s="1436"/>
      <c r="AN1007" s="1012">
        <f t="shared" si="17"/>
        <v>0</v>
      </c>
      <c r="AO1007" s="963" t="s">
        <v>2</v>
      </c>
      <c r="AP1007" s="1267"/>
      <c r="AQ1007" s="963"/>
    </row>
    <row r="1008" spans="1:43" ht="15" x14ac:dyDescent="0.25">
      <c r="A1008" s="1640"/>
      <c r="B1008" s="1641"/>
      <c r="C1008" s="1641"/>
      <c r="D1008" s="1641"/>
      <c r="E1008" s="1641"/>
      <c r="F1008" s="1641"/>
      <c r="G1008" s="1641"/>
      <c r="H1008" s="1642"/>
      <c r="I1008" s="1452"/>
      <c r="J1008" s="1012">
        <f t="shared" si="12"/>
        <v>0</v>
      </c>
      <c r="K1008" s="963" t="s">
        <v>4</v>
      </c>
      <c r="L1008" s="1268"/>
      <c r="M1008" s="69"/>
      <c r="N1008" s="963"/>
      <c r="O1008" s="1452"/>
      <c r="P1008" s="1012">
        <f t="shared" si="13"/>
        <v>0</v>
      </c>
      <c r="Q1008" s="963" t="s">
        <v>4</v>
      </c>
      <c r="R1008" s="1268"/>
      <c r="S1008" s="963"/>
      <c r="T1008" s="963"/>
      <c r="U1008" s="1437"/>
      <c r="V1008" s="1012">
        <f t="shared" si="14"/>
        <v>0</v>
      </c>
      <c r="W1008" s="963" t="s">
        <v>4</v>
      </c>
      <c r="X1008" s="1268"/>
      <c r="Y1008" s="963"/>
      <c r="Z1008" s="963"/>
      <c r="AA1008" s="1437"/>
      <c r="AB1008" s="1012">
        <f t="shared" si="15"/>
        <v>0</v>
      </c>
      <c r="AC1008" s="963" t="s">
        <v>4</v>
      </c>
      <c r="AD1008" s="1268"/>
      <c r="AE1008" s="963"/>
      <c r="AF1008" s="963"/>
      <c r="AG1008" s="1437"/>
      <c r="AH1008" s="1012">
        <f t="shared" si="16"/>
        <v>0</v>
      </c>
      <c r="AI1008" s="963" t="s">
        <v>4</v>
      </c>
      <c r="AJ1008" s="1268"/>
      <c r="AK1008" s="963"/>
      <c r="AL1008" s="963"/>
      <c r="AM1008" s="1437"/>
      <c r="AN1008" s="1012">
        <f t="shared" si="17"/>
        <v>0</v>
      </c>
      <c r="AO1008" s="963" t="s">
        <v>4</v>
      </c>
      <c r="AP1008" s="1268"/>
      <c r="AQ1008" s="963"/>
    </row>
    <row r="1009" spans="1:43" ht="15" x14ac:dyDescent="0.25">
      <c r="A1009" s="1640"/>
      <c r="B1009" s="1641"/>
      <c r="C1009" s="1641"/>
      <c r="D1009" s="1641"/>
      <c r="E1009" s="1641"/>
      <c r="F1009" s="1641"/>
      <c r="G1009" s="1641"/>
      <c r="H1009" s="1642"/>
      <c r="I1009" s="1451" t="s">
        <v>1127</v>
      </c>
      <c r="J1009" s="1012">
        <f t="shared" si="12"/>
        <v>0</v>
      </c>
      <c r="K1009" s="963" t="s">
        <v>1132</v>
      </c>
      <c r="L1009" s="1266">
        <f>L955+L190</f>
        <v>0</v>
      </c>
      <c r="M1009" s="69"/>
      <c r="N1009" s="963"/>
      <c r="O1009" s="1451" t="s">
        <v>1127</v>
      </c>
      <c r="P1009" s="1012">
        <f t="shared" si="13"/>
        <v>0</v>
      </c>
      <c r="Q1009" s="963" t="s">
        <v>1132</v>
      </c>
      <c r="R1009" s="1266">
        <f>R955+R190</f>
        <v>0</v>
      </c>
      <c r="S1009" s="963"/>
      <c r="T1009" s="963"/>
      <c r="U1009" s="1435" t="s">
        <v>1127</v>
      </c>
      <c r="V1009" s="1012">
        <f t="shared" si="14"/>
        <v>0</v>
      </c>
      <c r="W1009" s="963" t="s">
        <v>1132</v>
      </c>
      <c r="X1009" s="1266">
        <f>X955+X190</f>
        <v>0</v>
      </c>
      <c r="Y1009" s="963"/>
      <c r="Z1009" s="963"/>
      <c r="AA1009" s="1435" t="s">
        <v>1127</v>
      </c>
      <c r="AB1009" s="1012">
        <f t="shared" si="15"/>
        <v>0</v>
      </c>
      <c r="AC1009" s="963" t="s">
        <v>1132</v>
      </c>
      <c r="AD1009" s="1266">
        <f>AD955+AD190</f>
        <v>0</v>
      </c>
      <c r="AE1009" s="963"/>
      <c r="AF1009" s="963"/>
      <c r="AG1009" s="1435" t="s">
        <v>1127</v>
      </c>
      <c r="AH1009" s="1012">
        <f t="shared" si="16"/>
        <v>0</v>
      </c>
      <c r="AI1009" s="963" t="s">
        <v>1132</v>
      </c>
      <c r="AJ1009" s="1266">
        <f>AJ955+AJ190</f>
        <v>0</v>
      </c>
      <c r="AK1009" s="963"/>
      <c r="AL1009" s="963"/>
      <c r="AM1009" s="1435" t="s">
        <v>1127</v>
      </c>
      <c r="AN1009" s="1012">
        <f t="shared" si="17"/>
        <v>0</v>
      </c>
      <c r="AO1009" s="963" t="s">
        <v>1132</v>
      </c>
      <c r="AP1009" s="1266">
        <f>AP955+AP190</f>
        <v>0</v>
      </c>
      <c r="AQ1009" s="963"/>
    </row>
    <row r="1010" spans="1:43" ht="15" x14ac:dyDescent="0.25">
      <c r="A1010" s="1640"/>
      <c r="B1010" s="1641"/>
      <c r="C1010" s="1641"/>
      <c r="D1010" s="1641"/>
      <c r="E1010" s="1641"/>
      <c r="F1010" s="1641"/>
      <c r="G1010" s="1641"/>
      <c r="H1010" s="1642"/>
      <c r="I1010" s="1456"/>
      <c r="J1010" s="1012">
        <f t="shared" si="12"/>
        <v>0</v>
      </c>
      <c r="K1010" s="963" t="s">
        <v>2</v>
      </c>
      <c r="L1010" s="1267"/>
      <c r="M1010" s="69"/>
      <c r="N1010" s="963"/>
      <c r="O1010" s="1456"/>
      <c r="P1010" s="1012">
        <f t="shared" si="13"/>
        <v>0</v>
      </c>
      <c r="Q1010" s="963" t="s">
        <v>2</v>
      </c>
      <c r="R1010" s="1267"/>
      <c r="S1010" s="963"/>
      <c r="T1010" s="963"/>
      <c r="U1010" s="1436"/>
      <c r="V1010" s="1012">
        <f t="shared" si="14"/>
        <v>0</v>
      </c>
      <c r="W1010" s="963" t="s">
        <v>2</v>
      </c>
      <c r="X1010" s="1267"/>
      <c r="Y1010" s="963"/>
      <c r="Z1010" s="963"/>
      <c r="AA1010" s="1436"/>
      <c r="AB1010" s="1012">
        <f t="shared" si="15"/>
        <v>0</v>
      </c>
      <c r="AC1010" s="963" t="s">
        <v>2</v>
      </c>
      <c r="AD1010" s="1267"/>
      <c r="AE1010" s="963"/>
      <c r="AF1010" s="963"/>
      <c r="AG1010" s="1436"/>
      <c r="AH1010" s="1012">
        <f t="shared" si="16"/>
        <v>0</v>
      </c>
      <c r="AI1010" s="963" t="s">
        <v>2</v>
      </c>
      <c r="AJ1010" s="1267"/>
      <c r="AK1010" s="963"/>
      <c r="AL1010" s="963"/>
      <c r="AM1010" s="1436"/>
      <c r="AN1010" s="1012">
        <f t="shared" si="17"/>
        <v>0</v>
      </c>
      <c r="AO1010" s="963" t="s">
        <v>2</v>
      </c>
      <c r="AP1010" s="1267"/>
      <c r="AQ1010" s="963"/>
    </row>
    <row r="1011" spans="1:43" ht="15" x14ac:dyDescent="0.25">
      <c r="A1011" s="1640"/>
      <c r="B1011" s="1641"/>
      <c r="C1011" s="1641"/>
      <c r="D1011" s="1641"/>
      <c r="E1011" s="1641"/>
      <c r="F1011" s="1641"/>
      <c r="G1011" s="1641"/>
      <c r="H1011" s="1642"/>
      <c r="I1011" s="1452"/>
      <c r="J1011" s="1012">
        <f t="shared" si="12"/>
        <v>0</v>
      </c>
      <c r="K1011" s="963" t="s">
        <v>4</v>
      </c>
      <c r="L1011" s="1268"/>
      <c r="M1011" s="69"/>
      <c r="N1011" s="963"/>
      <c r="O1011" s="1452"/>
      <c r="P1011" s="1012">
        <f t="shared" si="13"/>
        <v>0</v>
      </c>
      <c r="Q1011" s="963" t="s">
        <v>4</v>
      </c>
      <c r="R1011" s="1268"/>
      <c r="S1011" s="963"/>
      <c r="T1011" s="963"/>
      <c r="U1011" s="1437"/>
      <c r="V1011" s="1012">
        <f t="shared" si="14"/>
        <v>0</v>
      </c>
      <c r="W1011" s="963" t="s">
        <v>4</v>
      </c>
      <c r="X1011" s="1268"/>
      <c r="Y1011" s="963"/>
      <c r="Z1011" s="963"/>
      <c r="AA1011" s="1437"/>
      <c r="AB1011" s="1012">
        <f t="shared" si="15"/>
        <v>0</v>
      </c>
      <c r="AC1011" s="963" t="s">
        <v>4</v>
      </c>
      <c r="AD1011" s="1268"/>
      <c r="AE1011" s="963"/>
      <c r="AF1011" s="963"/>
      <c r="AG1011" s="1437"/>
      <c r="AH1011" s="1012">
        <f t="shared" si="16"/>
        <v>0</v>
      </c>
      <c r="AI1011" s="963" t="s">
        <v>4</v>
      </c>
      <c r="AJ1011" s="1268"/>
      <c r="AK1011" s="963"/>
      <c r="AL1011" s="963"/>
      <c r="AM1011" s="1437"/>
      <c r="AN1011" s="1012">
        <f t="shared" si="17"/>
        <v>0</v>
      </c>
      <c r="AO1011" s="963" t="s">
        <v>4</v>
      </c>
      <c r="AP1011" s="1268"/>
      <c r="AQ1011" s="963"/>
    </row>
    <row r="1012" spans="1:43" ht="15" x14ac:dyDescent="0.25">
      <c r="A1012" s="1640"/>
      <c r="B1012" s="1641"/>
      <c r="C1012" s="1641"/>
      <c r="D1012" s="1641"/>
      <c r="E1012" s="1641"/>
      <c r="F1012" s="1641"/>
      <c r="G1012" s="1641"/>
      <c r="H1012" s="1642"/>
      <c r="I1012" s="1451" t="s">
        <v>1128</v>
      </c>
      <c r="J1012" s="1012">
        <f t="shared" si="12"/>
        <v>0</v>
      </c>
      <c r="K1012" s="963" t="s">
        <v>1132</v>
      </c>
      <c r="L1012" s="1266">
        <f>L958+L193</f>
        <v>0</v>
      </c>
      <c r="M1012" s="69"/>
      <c r="N1012" s="963"/>
      <c r="O1012" s="1451" t="s">
        <v>1128</v>
      </c>
      <c r="P1012" s="1012">
        <f t="shared" si="13"/>
        <v>0</v>
      </c>
      <c r="Q1012" s="963" t="s">
        <v>1132</v>
      </c>
      <c r="R1012" s="1266">
        <f>R958+R193</f>
        <v>0</v>
      </c>
      <c r="S1012" s="963"/>
      <c r="T1012" s="963"/>
      <c r="U1012" s="1435" t="s">
        <v>1128</v>
      </c>
      <c r="V1012" s="1012">
        <f t="shared" si="14"/>
        <v>0</v>
      </c>
      <c r="W1012" s="963" t="s">
        <v>1132</v>
      </c>
      <c r="X1012" s="1266">
        <f>X958+X193</f>
        <v>0</v>
      </c>
      <c r="Y1012" s="963"/>
      <c r="Z1012" s="963"/>
      <c r="AA1012" s="1435" t="s">
        <v>1128</v>
      </c>
      <c r="AB1012" s="1012">
        <f t="shared" si="15"/>
        <v>0</v>
      </c>
      <c r="AC1012" s="963" t="s">
        <v>1132</v>
      </c>
      <c r="AD1012" s="1266">
        <f>AD958+AD193</f>
        <v>0</v>
      </c>
      <c r="AE1012" s="963"/>
      <c r="AF1012" s="963"/>
      <c r="AG1012" s="1435" t="s">
        <v>1128</v>
      </c>
      <c r="AH1012" s="1012">
        <f t="shared" si="16"/>
        <v>0</v>
      </c>
      <c r="AI1012" s="963" t="s">
        <v>1132</v>
      </c>
      <c r="AJ1012" s="1266">
        <f>AJ958+AJ193</f>
        <v>0</v>
      </c>
      <c r="AK1012" s="963"/>
      <c r="AL1012" s="963"/>
      <c r="AM1012" s="1435" t="s">
        <v>1128</v>
      </c>
      <c r="AN1012" s="1012">
        <f t="shared" si="17"/>
        <v>0</v>
      </c>
      <c r="AO1012" s="963" t="s">
        <v>1132</v>
      </c>
      <c r="AP1012" s="1266">
        <f>AP958+AP193</f>
        <v>0</v>
      </c>
      <c r="AQ1012" s="963"/>
    </row>
    <row r="1013" spans="1:43" ht="15" x14ac:dyDescent="0.25">
      <c r="A1013" s="1640"/>
      <c r="B1013" s="1641"/>
      <c r="C1013" s="1641"/>
      <c r="D1013" s="1641"/>
      <c r="E1013" s="1641"/>
      <c r="F1013" s="1641"/>
      <c r="G1013" s="1641"/>
      <c r="H1013" s="1642"/>
      <c r="I1013" s="1456"/>
      <c r="J1013" s="1012">
        <f t="shared" si="12"/>
        <v>0</v>
      </c>
      <c r="K1013" s="963" t="s">
        <v>2</v>
      </c>
      <c r="L1013" s="1267"/>
      <c r="M1013" s="69"/>
      <c r="N1013" s="963"/>
      <c r="O1013" s="1456"/>
      <c r="P1013" s="1012">
        <f t="shared" si="13"/>
        <v>0</v>
      </c>
      <c r="Q1013" s="963" t="s">
        <v>2</v>
      </c>
      <c r="R1013" s="1267"/>
      <c r="S1013" s="963"/>
      <c r="T1013" s="963"/>
      <c r="U1013" s="1436"/>
      <c r="V1013" s="1012">
        <f t="shared" si="14"/>
        <v>0</v>
      </c>
      <c r="W1013" s="963" t="s">
        <v>2</v>
      </c>
      <c r="X1013" s="1267"/>
      <c r="Y1013" s="963"/>
      <c r="Z1013" s="963"/>
      <c r="AA1013" s="1436"/>
      <c r="AB1013" s="1012">
        <f t="shared" si="15"/>
        <v>0</v>
      </c>
      <c r="AC1013" s="963" t="s">
        <v>2</v>
      </c>
      <c r="AD1013" s="1267"/>
      <c r="AE1013" s="963"/>
      <c r="AF1013" s="963"/>
      <c r="AG1013" s="1436"/>
      <c r="AH1013" s="1012">
        <f t="shared" si="16"/>
        <v>0</v>
      </c>
      <c r="AI1013" s="963" t="s">
        <v>2</v>
      </c>
      <c r="AJ1013" s="1267"/>
      <c r="AK1013" s="963"/>
      <c r="AL1013" s="963"/>
      <c r="AM1013" s="1436"/>
      <c r="AN1013" s="1012">
        <f t="shared" si="17"/>
        <v>0</v>
      </c>
      <c r="AO1013" s="963" t="s">
        <v>2</v>
      </c>
      <c r="AP1013" s="1267"/>
      <c r="AQ1013" s="963"/>
    </row>
    <row r="1014" spans="1:43" ht="15" x14ac:dyDescent="0.25">
      <c r="A1014" s="1640"/>
      <c r="B1014" s="1641"/>
      <c r="C1014" s="1641"/>
      <c r="D1014" s="1641"/>
      <c r="E1014" s="1641"/>
      <c r="F1014" s="1641"/>
      <c r="G1014" s="1641"/>
      <c r="H1014" s="1642"/>
      <c r="I1014" s="1452"/>
      <c r="J1014" s="1012">
        <f t="shared" si="12"/>
        <v>0</v>
      </c>
      <c r="K1014" s="963" t="s">
        <v>4</v>
      </c>
      <c r="L1014" s="1268"/>
      <c r="M1014" s="69"/>
      <c r="N1014" s="963"/>
      <c r="O1014" s="1452"/>
      <c r="P1014" s="1012">
        <f t="shared" si="13"/>
        <v>0</v>
      </c>
      <c r="Q1014" s="963" t="s">
        <v>4</v>
      </c>
      <c r="R1014" s="1268"/>
      <c r="S1014" s="963"/>
      <c r="T1014" s="963"/>
      <c r="U1014" s="1437"/>
      <c r="V1014" s="1012">
        <f t="shared" si="14"/>
        <v>0</v>
      </c>
      <c r="W1014" s="963" t="s">
        <v>4</v>
      </c>
      <c r="X1014" s="1268"/>
      <c r="Y1014" s="963"/>
      <c r="Z1014" s="963"/>
      <c r="AA1014" s="1437"/>
      <c r="AB1014" s="1012">
        <f t="shared" si="15"/>
        <v>0</v>
      </c>
      <c r="AC1014" s="963" t="s">
        <v>4</v>
      </c>
      <c r="AD1014" s="1268"/>
      <c r="AE1014" s="963"/>
      <c r="AF1014" s="963"/>
      <c r="AG1014" s="1437"/>
      <c r="AH1014" s="1012">
        <f t="shared" si="16"/>
        <v>0</v>
      </c>
      <c r="AI1014" s="963" t="s">
        <v>4</v>
      </c>
      <c r="AJ1014" s="1268"/>
      <c r="AK1014" s="963"/>
      <c r="AL1014" s="963"/>
      <c r="AM1014" s="1437"/>
      <c r="AN1014" s="1012">
        <f t="shared" si="17"/>
        <v>0</v>
      </c>
      <c r="AO1014" s="963" t="s">
        <v>4</v>
      </c>
      <c r="AP1014" s="1268"/>
      <c r="AQ1014" s="963"/>
    </row>
    <row r="1015" spans="1:43" ht="31.5" x14ac:dyDescent="0.25">
      <c r="A1015" s="1640"/>
      <c r="B1015" s="1641"/>
      <c r="C1015" s="1641"/>
      <c r="D1015" s="1641"/>
      <c r="E1015" s="1641"/>
      <c r="F1015" s="1641"/>
      <c r="G1015" s="1641"/>
      <c r="H1015" s="1642"/>
      <c r="I1015" s="959" t="s">
        <v>1147</v>
      </c>
      <c r="J1015" s="1012">
        <f t="shared" si="12"/>
        <v>201.8348</v>
      </c>
      <c r="K1015" s="963" t="s">
        <v>2</v>
      </c>
      <c r="L1015" s="1012">
        <f t="shared" ref="L1015:L1027" si="18">L961+L196</f>
        <v>3965.24</v>
      </c>
      <c r="M1015" s="69"/>
      <c r="N1015" s="963"/>
      <c r="O1015" s="959" t="s">
        <v>1147</v>
      </c>
      <c r="P1015" s="1012">
        <f t="shared" si="13"/>
        <v>326.79509999999993</v>
      </c>
      <c r="Q1015" s="963" t="s">
        <v>2</v>
      </c>
      <c r="R1015" s="1012">
        <f t="shared" ref="R1015:R1027" si="19">R961+R196</f>
        <v>14142.315509999999</v>
      </c>
      <c r="S1015" s="963"/>
      <c r="T1015" s="963"/>
      <c r="U1015" s="956" t="s">
        <v>8</v>
      </c>
      <c r="V1015" s="1012">
        <f t="shared" si="14"/>
        <v>81.942399999999992</v>
      </c>
      <c r="W1015" s="963" t="s">
        <v>2</v>
      </c>
      <c r="X1015" s="1012">
        <f t="shared" ref="X1015:X1027" si="20">X961+X196</f>
        <v>1140.029</v>
      </c>
      <c r="Y1015" s="963"/>
      <c r="Z1015" s="963"/>
      <c r="AA1015" s="956" t="s">
        <v>8</v>
      </c>
      <c r="AB1015" s="1012">
        <f t="shared" si="15"/>
        <v>133.2704</v>
      </c>
      <c r="AC1015" s="963" t="s">
        <v>2</v>
      </c>
      <c r="AD1015" s="1012">
        <f t="shared" ref="AD1015:AD1027" si="21">AD961+AD196</f>
        <v>2061.4459999999999</v>
      </c>
      <c r="AE1015" s="963"/>
      <c r="AF1015" s="963"/>
      <c r="AG1015" s="956" t="s">
        <v>8</v>
      </c>
      <c r="AH1015" s="1012">
        <f t="shared" si="16"/>
        <v>0</v>
      </c>
      <c r="AI1015" s="963" t="s">
        <v>2</v>
      </c>
      <c r="AJ1015" s="1012">
        <f t="shared" ref="AJ1015:AJ1027" si="22">AJ961+AJ196</f>
        <v>0</v>
      </c>
      <c r="AK1015" s="963"/>
      <c r="AL1015" s="963"/>
      <c r="AM1015" s="956" t="s">
        <v>8</v>
      </c>
      <c r="AN1015" s="1012">
        <f t="shared" si="17"/>
        <v>0</v>
      </c>
      <c r="AO1015" s="963" t="s">
        <v>2</v>
      </c>
      <c r="AP1015" s="1012">
        <f t="shared" ref="AP1015:AP1027" si="23">AP961+AP196</f>
        <v>0</v>
      </c>
      <c r="AQ1015" s="963"/>
    </row>
    <row r="1016" spans="1:43" ht="31.5" x14ac:dyDescent="0.25">
      <c r="A1016" s="1640"/>
      <c r="B1016" s="1641"/>
      <c r="C1016" s="1641"/>
      <c r="D1016" s="1641"/>
      <c r="E1016" s="1641"/>
      <c r="F1016" s="1641"/>
      <c r="G1016" s="1641"/>
      <c r="H1016" s="1642"/>
      <c r="I1016" s="121" t="s">
        <v>9</v>
      </c>
      <c r="J1016" s="1012">
        <f t="shared" si="12"/>
        <v>1</v>
      </c>
      <c r="K1016" s="963" t="s">
        <v>10</v>
      </c>
      <c r="L1016" s="1012">
        <f t="shared" si="18"/>
        <v>0</v>
      </c>
      <c r="M1016" s="69"/>
      <c r="N1016" s="963"/>
      <c r="O1016" s="121" t="s">
        <v>9</v>
      </c>
      <c r="P1016" s="1012">
        <f t="shared" si="13"/>
        <v>6</v>
      </c>
      <c r="Q1016" s="963" t="s">
        <v>10</v>
      </c>
      <c r="R1016" s="1012">
        <f t="shared" si="19"/>
        <v>197.376</v>
      </c>
      <c r="S1016" s="963"/>
      <c r="T1016" s="963"/>
      <c r="U1016" s="52" t="s">
        <v>9</v>
      </c>
      <c r="V1016" s="1012">
        <f t="shared" si="14"/>
        <v>0</v>
      </c>
      <c r="W1016" s="963" t="s">
        <v>10</v>
      </c>
      <c r="X1016" s="1012">
        <f t="shared" si="20"/>
        <v>0</v>
      </c>
      <c r="Y1016" s="963"/>
      <c r="Z1016" s="963"/>
      <c r="AA1016" s="52" t="s">
        <v>9</v>
      </c>
      <c r="AB1016" s="1012">
        <f t="shared" si="15"/>
        <v>0</v>
      </c>
      <c r="AC1016" s="963" t="s">
        <v>10</v>
      </c>
      <c r="AD1016" s="1012">
        <f t="shared" si="21"/>
        <v>0</v>
      </c>
      <c r="AE1016" s="963"/>
      <c r="AF1016" s="963"/>
      <c r="AG1016" s="52" t="s">
        <v>9</v>
      </c>
      <c r="AH1016" s="1012">
        <f t="shared" si="16"/>
        <v>0</v>
      </c>
      <c r="AI1016" s="963" t="s">
        <v>10</v>
      </c>
      <c r="AJ1016" s="1012">
        <f t="shared" si="22"/>
        <v>0</v>
      </c>
      <c r="AK1016" s="963"/>
      <c r="AL1016" s="963"/>
      <c r="AM1016" s="52" t="s">
        <v>9</v>
      </c>
      <c r="AN1016" s="1012">
        <f t="shared" si="17"/>
        <v>0</v>
      </c>
      <c r="AO1016" s="963" t="s">
        <v>10</v>
      </c>
      <c r="AP1016" s="1012">
        <f t="shared" si="23"/>
        <v>0</v>
      </c>
      <c r="AQ1016" s="963"/>
    </row>
    <row r="1017" spans="1:43" ht="31.5" x14ac:dyDescent="0.25">
      <c r="A1017" s="1640"/>
      <c r="B1017" s="1641"/>
      <c r="C1017" s="1641"/>
      <c r="D1017" s="1641"/>
      <c r="E1017" s="1641"/>
      <c r="F1017" s="1641"/>
      <c r="G1017" s="1641"/>
      <c r="H1017" s="1642"/>
      <c r="I1017" s="121" t="s">
        <v>32</v>
      </c>
      <c r="J1017" s="1012">
        <f t="shared" si="12"/>
        <v>453</v>
      </c>
      <c r="K1017" s="963" t="s">
        <v>10</v>
      </c>
      <c r="L1017" s="1012">
        <f t="shared" si="18"/>
        <v>5004.326</v>
      </c>
      <c r="M1017" s="69"/>
      <c r="N1017" s="963"/>
      <c r="O1017" s="121" t="s">
        <v>32</v>
      </c>
      <c r="P1017" s="1012">
        <f t="shared" si="13"/>
        <v>1639</v>
      </c>
      <c r="Q1017" s="963" t="s">
        <v>10</v>
      </c>
      <c r="R1017" s="1012">
        <f t="shared" si="19"/>
        <v>12151.133999999998</v>
      </c>
      <c r="S1017" s="963"/>
      <c r="T1017" s="963"/>
      <c r="U1017" s="52" t="s">
        <v>32</v>
      </c>
      <c r="V1017" s="1012">
        <f t="shared" si="14"/>
        <v>575</v>
      </c>
      <c r="W1017" s="963" t="s">
        <v>10</v>
      </c>
      <c r="X1017" s="1012">
        <f t="shared" si="20"/>
        <v>3736.4850000000001</v>
      </c>
      <c r="Y1017" s="963"/>
      <c r="Z1017" s="963"/>
      <c r="AA1017" s="52" t="s">
        <v>32</v>
      </c>
      <c r="AB1017" s="1012">
        <f t="shared" si="15"/>
        <v>372</v>
      </c>
      <c r="AC1017" s="963" t="s">
        <v>10</v>
      </c>
      <c r="AD1017" s="1012">
        <f t="shared" si="21"/>
        <v>2555.924</v>
      </c>
      <c r="AE1017" s="963"/>
      <c r="AF1017" s="963"/>
      <c r="AG1017" s="52" t="s">
        <v>32</v>
      </c>
      <c r="AH1017" s="1012">
        <f t="shared" si="16"/>
        <v>0</v>
      </c>
      <c r="AI1017" s="963" t="s">
        <v>10</v>
      </c>
      <c r="AJ1017" s="1012">
        <f t="shared" si="22"/>
        <v>0</v>
      </c>
      <c r="AK1017" s="963"/>
      <c r="AL1017" s="963"/>
      <c r="AM1017" s="52" t="s">
        <v>32</v>
      </c>
      <c r="AN1017" s="1012">
        <f t="shared" si="17"/>
        <v>0</v>
      </c>
      <c r="AO1017" s="963" t="s">
        <v>10</v>
      </c>
      <c r="AP1017" s="1012">
        <f t="shared" si="23"/>
        <v>0</v>
      </c>
      <c r="AQ1017" s="963"/>
    </row>
    <row r="1018" spans="1:43" ht="31.5" x14ac:dyDescent="0.25">
      <c r="A1018" s="1640"/>
      <c r="B1018" s="1641"/>
      <c r="C1018" s="1641"/>
      <c r="D1018" s="1641"/>
      <c r="E1018" s="1641"/>
      <c r="F1018" s="1641"/>
      <c r="G1018" s="1641"/>
      <c r="H1018" s="1642"/>
      <c r="I1018" s="121" t="s">
        <v>1129</v>
      </c>
      <c r="J1018" s="1012">
        <f t="shared" si="12"/>
        <v>0</v>
      </c>
      <c r="K1018" s="963" t="s">
        <v>1132</v>
      </c>
      <c r="L1018" s="1012">
        <f t="shared" si="18"/>
        <v>0</v>
      </c>
      <c r="M1018" s="69"/>
      <c r="N1018" s="963"/>
      <c r="O1018" s="121" t="s">
        <v>1129</v>
      </c>
      <c r="P1018" s="1012">
        <f t="shared" si="13"/>
        <v>2897</v>
      </c>
      <c r="Q1018" s="963" t="s">
        <v>1132</v>
      </c>
      <c r="R1018" s="1012">
        <f t="shared" si="19"/>
        <v>12428.197</v>
      </c>
      <c r="S1018" s="963"/>
      <c r="T1018" s="963"/>
      <c r="U1018" s="52" t="s">
        <v>1129</v>
      </c>
      <c r="V1018" s="1012">
        <f t="shared" si="14"/>
        <v>1041</v>
      </c>
      <c r="W1018" s="963" t="s">
        <v>1132</v>
      </c>
      <c r="X1018" s="1012">
        <f t="shared" si="20"/>
        <v>2406.89</v>
      </c>
      <c r="Y1018" s="963"/>
      <c r="Z1018" s="963"/>
      <c r="AA1018" s="52" t="s">
        <v>1129</v>
      </c>
      <c r="AB1018" s="1012">
        <f t="shared" si="15"/>
        <v>204</v>
      </c>
      <c r="AC1018" s="963" t="s">
        <v>1132</v>
      </c>
      <c r="AD1018" s="1012">
        <f t="shared" si="21"/>
        <v>629.24599999999998</v>
      </c>
      <c r="AE1018" s="963"/>
      <c r="AF1018" s="963"/>
      <c r="AG1018" s="52" t="s">
        <v>1129</v>
      </c>
      <c r="AH1018" s="1012">
        <f t="shared" si="16"/>
        <v>0</v>
      </c>
      <c r="AI1018" s="963" t="s">
        <v>1132</v>
      </c>
      <c r="AJ1018" s="1012">
        <f t="shared" si="22"/>
        <v>0</v>
      </c>
      <c r="AK1018" s="963"/>
      <c r="AL1018" s="963"/>
      <c r="AM1018" s="52" t="s">
        <v>1129</v>
      </c>
      <c r="AN1018" s="1012">
        <f t="shared" si="17"/>
        <v>0</v>
      </c>
      <c r="AO1018" s="963" t="s">
        <v>1132</v>
      </c>
      <c r="AP1018" s="1012">
        <f t="shared" si="23"/>
        <v>0</v>
      </c>
      <c r="AQ1018" s="963"/>
    </row>
    <row r="1019" spans="1:43" ht="19.350000000000001" customHeight="1" x14ac:dyDescent="0.25">
      <c r="A1019" s="1640"/>
      <c r="B1019" s="1641"/>
      <c r="C1019" s="1641"/>
      <c r="D1019" s="1641"/>
      <c r="E1019" s="1641"/>
      <c r="F1019" s="1641"/>
      <c r="G1019" s="1641"/>
      <c r="H1019" s="1642"/>
      <c r="I1019" s="121" t="s">
        <v>11</v>
      </c>
      <c r="J1019" s="1012">
        <f t="shared" si="12"/>
        <v>0</v>
      </c>
      <c r="K1019" s="963" t="s">
        <v>4</v>
      </c>
      <c r="L1019" s="1012">
        <f t="shared" si="18"/>
        <v>0</v>
      </c>
      <c r="M1019" s="69"/>
      <c r="N1019" s="963"/>
      <c r="O1019" s="121" t="s">
        <v>11</v>
      </c>
      <c r="P1019" s="1012">
        <f t="shared" si="13"/>
        <v>0</v>
      </c>
      <c r="Q1019" s="963" t="s">
        <v>4</v>
      </c>
      <c r="R1019" s="1012">
        <f t="shared" si="19"/>
        <v>0</v>
      </c>
      <c r="S1019" s="963"/>
      <c r="T1019" s="963"/>
      <c r="U1019" s="52" t="s">
        <v>11</v>
      </c>
      <c r="V1019" s="1012">
        <f t="shared" si="14"/>
        <v>0</v>
      </c>
      <c r="W1019" s="963" t="s">
        <v>4</v>
      </c>
      <c r="X1019" s="1012">
        <f t="shared" si="20"/>
        <v>0</v>
      </c>
      <c r="Y1019" s="963"/>
      <c r="Z1019" s="963"/>
      <c r="AA1019" s="52" t="s">
        <v>11</v>
      </c>
      <c r="AB1019" s="1012">
        <f t="shared" si="15"/>
        <v>0</v>
      </c>
      <c r="AC1019" s="963" t="s">
        <v>4</v>
      </c>
      <c r="AD1019" s="1012">
        <f t="shared" si="21"/>
        <v>0</v>
      </c>
      <c r="AE1019" s="963"/>
      <c r="AF1019" s="963"/>
      <c r="AG1019" s="52" t="s">
        <v>11</v>
      </c>
      <c r="AH1019" s="1012">
        <f t="shared" si="16"/>
        <v>0</v>
      </c>
      <c r="AI1019" s="963" t="s">
        <v>4</v>
      </c>
      <c r="AJ1019" s="1012">
        <f t="shared" si="22"/>
        <v>0</v>
      </c>
      <c r="AK1019" s="963"/>
      <c r="AL1019" s="963"/>
      <c r="AM1019" s="52" t="s">
        <v>11</v>
      </c>
      <c r="AN1019" s="1012">
        <f t="shared" si="17"/>
        <v>0</v>
      </c>
      <c r="AO1019" s="963" t="s">
        <v>4</v>
      </c>
      <c r="AP1019" s="1012">
        <f t="shared" si="23"/>
        <v>0</v>
      </c>
      <c r="AQ1019" s="963"/>
    </row>
    <row r="1020" spans="1:43" ht="19.350000000000001" customHeight="1" x14ac:dyDescent="0.25">
      <c r="A1020" s="1640"/>
      <c r="B1020" s="1641"/>
      <c r="C1020" s="1641"/>
      <c r="D1020" s="1641"/>
      <c r="E1020" s="1641"/>
      <c r="F1020" s="1641"/>
      <c r="G1020" s="1641"/>
      <c r="H1020" s="1642"/>
      <c r="I1020" s="121" t="s">
        <v>1130</v>
      </c>
      <c r="J1020" s="1012">
        <f t="shared" si="12"/>
        <v>0</v>
      </c>
      <c r="K1020" s="963" t="s">
        <v>1132</v>
      </c>
      <c r="L1020" s="1012">
        <f t="shared" si="18"/>
        <v>0</v>
      </c>
      <c r="M1020" s="69"/>
      <c r="N1020" s="963"/>
      <c r="O1020" s="121" t="s">
        <v>1130</v>
      </c>
      <c r="P1020" s="1012">
        <f t="shared" si="13"/>
        <v>1571</v>
      </c>
      <c r="Q1020" s="963" t="s">
        <v>1132</v>
      </c>
      <c r="R1020" s="1012">
        <f t="shared" si="19"/>
        <v>2442.6170000000002</v>
      </c>
      <c r="S1020" s="963"/>
      <c r="T1020" s="963"/>
      <c r="U1020" s="52" t="s">
        <v>1130</v>
      </c>
      <c r="V1020" s="1012">
        <f t="shared" si="14"/>
        <v>0</v>
      </c>
      <c r="W1020" s="963" t="s">
        <v>1132</v>
      </c>
      <c r="X1020" s="1012">
        <f t="shared" si="20"/>
        <v>0</v>
      </c>
      <c r="Y1020" s="963"/>
      <c r="Z1020" s="963"/>
      <c r="AA1020" s="52" t="s">
        <v>1130</v>
      </c>
      <c r="AB1020" s="1012">
        <f t="shared" si="15"/>
        <v>0</v>
      </c>
      <c r="AC1020" s="963" t="s">
        <v>1132</v>
      </c>
      <c r="AD1020" s="1012">
        <f t="shared" si="21"/>
        <v>0</v>
      </c>
      <c r="AE1020" s="963"/>
      <c r="AF1020" s="963"/>
      <c r="AG1020" s="52" t="s">
        <v>1130</v>
      </c>
      <c r="AH1020" s="1012">
        <f t="shared" si="16"/>
        <v>0</v>
      </c>
      <c r="AI1020" s="963" t="s">
        <v>1132</v>
      </c>
      <c r="AJ1020" s="1012">
        <f t="shared" si="22"/>
        <v>0</v>
      </c>
      <c r="AK1020" s="963"/>
      <c r="AL1020" s="963"/>
      <c r="AM1020" s="52" t="s">
        <v>1130</v>
      </c>
      <c r="AN1020" s="1012">
        <f t="shared" si="17"/>
        <v>0</v>
      </c>
      <c r="AO1020" s="963" t="s">
        <v>1132</v>
      </c>
      <c r="AP1020" s="1012">
        <f t="shared" si="23"/>
        <v>0</v>
      </c>
      <c r="AQ1020" s="963"/>
    </row>
    <row r="1021" spans="1:43" ht="47.25" x14ac:dyDescent="0.25">
      <c r="A1021" s="1640"/>
      <c r="B1021" s="1641"/>
      <c r="C1021" s="1641"/>
      <c r="D1021" s="1641"/>
      <c r="E1021" s="1641"/>
      <c r="F1021" s="1641"/>
      <c r="G1021" s="1641"/>
      <c r="H1021" s="1642"/>
      <c r="I1021" s="121" t="s">
        <v>33</v>
      </c>
      <c r="J1021" s="1012">
        <f t="shared" si="12"/>
        <v>0</v>
      </c>
      <c r="K1021" s="963" t="s">
        <v>1132</v>
      </c>
      <c r="L1021" s="1012">
        <f t="shared" si="18"/>
        <v>0</v>
      </c>
      <c r="M1021" s="69"/>
      <c r="N1021" s="963"/>
      <c r="O1021" s="121" t="s">
        <v>33</v>
      </c>
      <c r="P1021" s="1012">
        <f t="shared" si="13"/>
        <v>0</v>
      </c>
      <c r="Q1021" s="963" t="s">
        <v>1132</v>
      </c>
      <c r="R1021" s="1012">
        <f t="shared" si="19"/>
        <v>0</v>
      </c>
      <c r="S1021" s="963"/>
      <c r="T1021" s="963"/>
      <c r="U1021" s="52" t="s">
        <v>33</v>
      </c>
      <c r="V1021" s="1012">
        <f t="shared" si="14"/>
        <v>0</v>
      </c>
      <c r="W1021" s="963" t="s">
        <v>1132</v>
      </c>
      <c r="X1021" s="1012">
        <f t="shared" si="20"/>
        <v>0</v>
      </c>
      <c r="Y1021" s="963"/>
      <c r="Z1021" s="963"/>
      <c r="AA1021" s="52" t="s">
        <v>33</v>
      </c>
      <c r="AB1021" s="1012">
        <f t="shared" si="15"/>
        <v>0</v>
      </c>
      <c r="AC1021" s="963" t="s">
        <v>1132</v>
      </c>
      <c r="AD1021" s="1012">
        <f t="shared" si="21"/>
        <v>0</v>
      </c>
      <c r="AE1021" s="963"/>
      <c r="AF1021" s="963"/>
      <c r="AG1021" s="52" t="s">
        <v>33</v>
      </c>
      <c r="AH1021" s="1012">
        <f t="shared" si="16"/>
        <v>0</v>
      </c>
      <c r="AI1021" s="963" t="s">
        <v>1132</v>
      </c>
      <c r="AJ1021" s="1012">
        <f t="shared" si="22"/>
        <v>0</v>
      </c>
      <c r="AK1021" s="963"/>
      <c r="AL1021" s="963"/>
      <c r="AM1021" s="52" t="s">
        <v>33</v>
      </c>
      <c r="AN1021" s="1012">
        <f t="shared" si="17"/>
        <v>0</v>
      </c>
      <c r="AO1021" s="963" t="s">
        <v>1132</v>
      </c>
      <c r="AP1021" s="1012">
        <f t="shared" si="23"/>
        <v>0</v>
      </c>
      <c r="AQ1021" s="963"/>
    </row>
    <row r="1022" spans="1:43" x14ac:dyDescent="0.25">
      <c r="A1022" s="1640"/>
      <c r="B1022" s="1641"/>
      <c r="C1022" s="1641"/>
      <c r="D1022" s="1641"/>
      <c r="E1022" s="1641"/>
      <c r="F1022" s="1641"/>
      <c r="G1022" s="1641"/>
      <c r="H1022" s="1642"/>
      <c r="I1022" s="121" t="s">
        <v>1073</v>
      </c>
      <c r="J1022" s="1012">
        <f t="shared" si="12"/>
        <v>0</v>
      </c>
      <c r="K1022" s="963" t="s">
        <v>4</v>
      </c>
      <c r="L1022" s="1012">
        <f t="shared" si="18"/>
        <v>0</v>
      </c>
      <c r="M1022" s="69"/>
      <c r="N1022" s="963"/>
      <c r="O1022" s="121" t="s">
        <v>1073</v>
      </c>
      <c r="P1022" s="1012">
        <f t="shared" si="13"/>
        <v>0</v>
      </c>
      <c r="Q1022" s="963" t="s">
        <v>4</v>
      </c>
      <c r="R1022" s="1012">
        <f t="shared" si="19"/>
        <v>0</v>
      </c>
      <c r="S1022" s="963"/>
      <c r="T1022" s="963"/>
      <c r="U1022" s="52" t="s">
        <v>1073</v>
      </c>
      <c r="V1022" s="1012">
        <f t="shared" si="14"/>
        <v>0</v>
      </c>
      <c r="W1022" s="963" t="s">
        <v>4</v>
      </c>
      <c r="X1022" s="1012">
        <f t="shared" si="20"/>
        <v>0</v>
      </c>
      <c r="Y1022" s="963"/>
      <c r="Z1022" s="963"/>
      <c r="AA1022" s="52" t="s">
        <v>1073</v>
      </c>
      <c r="AB1022" s="1012">
        <f t="shared" si="15"/>
        <v>0</v>
      </c>
      <c r="AC1022" s="963" t="s">
        <v>4</v>
      </c>
      <c r="AD1022" s="1012">
        <f t="shared" si="21"/>
        <v>0</v>
      </c>
      <c r="AE1022" s="963"/>
      <c r="AF1022" s="963"/>
      <c r="AG1022" s="52" t="s">
        <v>1073</v>
      </c>
      <c r="AH1022" s="1012">
        <f t="shared" si="16"/>
        <v>0</v>
      </c>
      <c r="AI1022" s="963" t="s">
        <v>4</v>
      </c>
      <c r="AJ1022" s="1012">
        <f t="shared" si="22"/>
        <v>0</v>
      </c>
      <c r="AK1022" s="963"/>
      <c r="AL1022" s="963"/>
      <c r="AM1022" s="52" t="s">
        <v>1073</v>
      </c>
      <c r="AN1022" s="1012">
        <f t="shared" si="17"/>
        <v>0</v>
      </c>
      <c r="AO1022" s="963" t="s">
        <v>4</v>
      </c>
      <c r="AP1022" s="1012">
        <f t="shared" si="23"/>
        <v>0</v>
      </c>
      <c r="AQ1022" s="963"/>
    </row>
    <row r="1023" spans="1:43" ht="47.25" x14ac:dyDescent="0.25">
      <c r="A1023" s="1640"/>
      <c r="B1023" s="1641"/>
      <c r="C1023" s="1641"/>
      <c r="D1023" s="1641"/>
      <c r="E1023" s="1641"/>
      <c r="F1023" s="1641"/>
      <c r="G1023" s="1641"/>
      <c r="H1023" s="1642"/>
      <c r="I1023" s="121" t="s">
        <v>1074</v>
      </c>
      <c r="J1023" s="1012">
        <f t="shared" si="12"/>
        <v>0</v>
      </c>
      <c r="K1023" s="963" t="s">
        <v>4</v>
      </c>
      <c r="L1023" s="1012">
        <f t="shared" si="18"/>
        <v>0</v>
      </c>
      <c r="M1023" s="69"/>
      <c r="N1023" s="963"/>
      <c r="O1023" s="121" t="s">
        <v>1074</v>
      </c>
      <c r="P1023" s="1012">
        <f t="shared" si="13"/>
        <v>0</v>
      </c>
      <c r="Q1023" s="963" t="s">
        <v>4</v>
      </c>
      <c r="R1023" s="1012">
        <f t="shared" si="19"/>
        <v>0</v>
      </c>
      <c r="S1023" s="963"/>
      <c r="T1023" s="963"/>
      <c r="U1023" s="52" t="s">
        <v>1074</v>
      </c>
      <c r="V1023" s="1012">
        <f t="shared" si="14"/>
        <v>0</v>
      </c>
      <c r="W1023" s="963" t="s">
        <v>4</v>
      </c>
      <c r="X1023" s="1012">
        <f t="shared" si="20"/>
        <v>0</v>
      </c>
      <c r="Y1023" s="963"/>
      <c r="Z1023" s="963"/>
      <c r="AA1023" s="52" t="s">
        <v>1074</v>
      </c>
      <c r="AB1023" s="1012">
        <f t="shared" si="15"/>
        <v>0</v>
      </c>
      <c r="AC1023" s="963" t="s">
        <v>4</v>
      </c>
      <c r="AD1023" s="1012">
        <f t="shared" si="21"/>
        <v>0</v>
      </c>
      <c r="AE1023" s="963"/>
      <c r="AF1023" s="963"/>
      <c r="AG1023" s="52" t="s">
        <v>1074</v>
      </c>
      <c r="AH1023" s="1012">
        <f t="shared" si="16"/>
        <v>0</v>
      </c>
      <c r="AI1023" s="963" t="s">
        <v>4</v>
      </c>
      <c r="AJ1023" s="1012">
        <f t="shared" si="22"/>
        <v>0</v>
      </c>
      <c r="AK1023" s="963"/>
      <c r="AL1023" s="963"/>
      <c r="AM1023" s="52" t="s">
        <v>1074</v>
      </c>
      <c r="AN1023" s="1012">
        <f t="shared" si="17"/>
        <v>0</v>
      </c>
      <c r="AO1023" s="963" t="s">
        <v>4</v>
      </c>
      <c r="AP1023" s="1012">
        <f t="shared" si="23"/>
        <v>0</v>
      </c>
      <c r="AQ1023" s="963"/>
    </row>
    <row r="1024" spans="1:43" ht="31.5" x14ac:dyDescent="0.25">
      <c r="A1024" s="1640"/>
      <c r="B1024" s="1641"/>
      <c r="C1024" s="1641"/>
      <c r="D1024" s="1641"/>
      <c r="E1024" s="1641"/>
      <c r="F1024" s="1641"/>
      <c r="G1024" s="1641"/>
      <c r="H1024" s="1642"/>
      <c r="I1024" s="121" t="s">
        <v>1075</v>
      </c>
      <c r="J1024" s="1012">
        <f t="shared" si="12"/>
        <v>0</v>
      </c>
      <c r="K1024" s="963" t="s">
        <v>4</v>
      </c>
      <c r="L1024" s="1012">
        <f t="shared" si="18"/>
        <v>0</v>
      </c>
      <c r="M1024" s="69"/>
      <c r="N1024" s="963"/>
      <c r="O1024" s="121" t="s">
        <v>1075</v>
      </c>
      <c r="P1024" s="1012">
        <f t="shared" si="13"/>
        <v>0</v>
      </c>
      <c r="Q1024" s="963" t="s">
        <v>4</v>
      </c>
      <c r="R1024" s="1012">
        <f t="shared" si="19"/>
        <v>0</v>
      </c>
      <c r="S1024" s="963"/>
      <c r="T1024" s="963"/>
      <c r="U1024" s="52" t="s">
        <v>1075</v>
      </c>
      <c r="V1024" s="1012">
        <f t="shared" si="14"/>
        <v>0</v>
      </c>
      <c r="W1024" s="963" t="s">
        <v>4</v>
      </c>
      <c r="X1024" s="1012">
        <f t="shared" si="20"/>
        <v>0</v>
      </c>
      <c r="Y1024" s="963"/>
      <c r="Z1024" s="963"/>
      <c r="AA1024" s="52" t="s">
        <v>1075</v>
      </c>
      <c r="AB1024" s="1012">
        <f t="shared" si="15"/>
        <v>0</v>
      </c>
      <c r="AC1024" s="963" t="s">
        <v>4</v>
      </c>
      <c r="AD1024" s="1012">
        <f t="shared" si="21"/>
        <v>0</v>
      </c>
      <c r="AE1024" s="963"/>
      <c r="AF1024" s="963"/>
      <c r="AG1024" s="52" t="s">
        <v>1075</v>
      </c>
      <c r="AH1024" s="1012">
        <f t="shared" si="16"/>
        <v>0</v>
      </c>
      <c r="AI1024" s="963" t="s">
        <v>4</v>
      </c>
      <c r="AJ1024" s="1012">
        <f t="shared" si="22"/>
        <v>0</v>
      </c>
      <c r="AK1024" s="963"/>
      <c r="AL1024" s="963"/>
      <c r="AM1024" s="52" t="s">
        <v>1075</v>
      </c>
      <c r="AN1024" s="1012">
        <f t="shared" si="17"/>
        <v>0</v>
      </c>
      <c r="AO1024" s="963" t="s">
        <v>4</v>
      </c>
      <c r="AP1024" s="1012">
        <f t="shared" si="23"/>
        <v>0</v>
      </c>
      <c r="AQ1024" s="963"/>
    </row>
    <row r="1025" spans="1:43" ht="31.5" x14ac:dyDescent="0.25">
      <c r="A1025" s="1640"/>
      <c r="B1025" s="1641"/>
      <c r="C1025" s="1641"/>
      <c r="D1025" s="1641"/>
      <c r="E1025" s="1641"/>
      <c r="F1025" s="1641"/>
      <c r="G1025" s="1641"/>
      <c r="H1025" s="1642"/>
      <c r="I1025" s="121" t="s">
        <v>1076</v>
      </c>
      <c r="J1025" s="1012">
        <f t="shared" si="12"/>
        <v>0</v>
      </c>
      <c r="K1025" s="963" t="s">
        <v>10</v>
      </c>
      <c r="L1025" s="1012">
        <f t="shared" si="18"/>
        <v>0</v>
      </c>
      <c r="M1025" s="69"/>
      <c r="N1025" s="963"/>
      <c r="O1025" s="121" t="s">
        <v>1076</v>
      </c>
      <c r="P1025" s="1012">
        <f t="shared" si="13"/>
        <v>552</v>
      </c>
      <c r="Q1025" s="963" t="s">
        <v>10</v>
      </c>
      <c r="R1025" s="1012">
        <f t="shared" si="19"/>
        <v>10431.8722</v>
      </c>
      <c r="S1025" s="963"/>
      <c r="T1025" s="963"/>
      <c r="U1025" s="52" t="s">
        <v>1076</v>
      </c>
      <c r="V1025" s="1012">
        <f t="shared" si="14"/>
        <v>0</v>
      </c>
      <c r="W1025" s="963" t="s">
        <v>10</v>
      </c>
      <c r="X1025" s="1012">
        <f t="shared" si="20"/>
        <v>0</v>
      </c>
      <c r="Y1025" s="963"/>
      <c r="Z1025" s="963"/>
      <c r="AA1025" s="52" t="s">
        <v>1076</v>
      </c>
      <c r="AB1025" s="1012">
        <f t="shared" si="15"/>
        <v>0</v>
      </c>
      <c r="AC1025" s="963" t="s">
        <v>10</v>
      </c>
      <c r="AD1025" s="1012">
        <f t="shared" si="21"/>
        <v>0</v>
      </c>
      <c r="AE1025" s="963"/>
      <c r="AF1025" s="963"/>
      <c r="AG1025" s="52" t="s">
        <v>1076</v>
      </c>
      <c r="AH1025" s="1012">
        <f t="shared" si="16"/>
        <v>0</v>
      </c>
      <c r="AI1025" s="963" t="s">
        <v>10</v>
      </c>
      <c r="AJ1025" s="1012">
        <f t="shared" si="22"/>
        <v>0</v>
      </c>
      <c r="AK1025" s="963"/>
      <c r="AL1025" s="963"/>
      <c r="AM1025" s="52" t="s">
        <v>1076</v>
      </c>
      <c r="AN1025" s="1012">
        <f t="shared" si="17"/>
        <v>0</v>
      </c>
      <c r="AO1025" s="963" t="s">
        <v>10</v>
      </c>
      <c r="AP1025" s="1012">
        <f t="shared" si="23"/>
        <v>0</v>
      </c>
      <c r="AQ1025" s="963"/>
    </row>
    <row r="1026" spans="1:43" ht="31.5" x14ac:dyDescent="0.25">
      <c r="A1026" s="1640"/>
      <c r="B1026" s="1641"/>
      <c r="C1026" s="1641"/>
      <c r="D1026" s="1641"/>
      <c r="E1026" s="1641"/>
      <c r="F1026" s="1641"/>
      <c r="G1026" s="1641"/>
      <c r="H1026" s="1642"/>
      <c r="I1026" s="121" t="s">
        <v>1131</v>
      </c>
      <c r="J1026" s="1012">
        <f t="shared" si="12"/>
        <v>0</v>
      </c>
      <c r="K1026" s="963" t="s">
        <v>1132</v>
      </c>
      <c r="L1026" s="1012">
        <f t="shared" si="18"/>
        <v>0</v>
      </c>
      <c r="M1026" s="69"/>
      <c r="N1026" s="963"/>
      <c r="O1026" s="121" t="s">
        <v>1131</v>
      </c>
      <c r="P1026" s="1012">
        <f t="shared" si="13"/>
        <v>0</v>
      </c>
      <c r="Q1026" s="963" t="s">
        <v>1132</v>
      </c>
      <c r="R1026" s="1012">
        <f t="shared" si="19"/>
        <v>0</v>
      </c>
      <c r="S1026" s="963"/>
      <c r="T1026" s="963"/>
      <c r="U1026" s="52" t="s">
        <v>1131</v>
      </c>
      <c r="V1026" s="1012">
        <f t="shared" si="14"/>
        <v>0</v>
      </c>
      <c r="W1026" s="963" t="s">
        <v>1132</v>
      </c>
      <c r="X1026" s="1012">
        <f t="shared" si="20"/>
        <v>0</v>
      </c>
      <c r="Y1026" s="963"/>
      <c r="Z1026" s="963"/>
      <c r="AA1026" s="52" t="s">
        <v>1131</v>
      </c>
      <c r="AB1026" s="1012">
        <f t="shared" si="15"/>
        <v>0</v>
      </c>
      <c r="AC1026" s="963" t="s">
        <v>1132</v>
      </c>
      <c r="AD1026" s="1012">
        <f t="shared" si="21"/>
        <v>0</v>
      </c>
      <c r="AE1026" s="963"/>
      <c r="AF1026" s="963"/>
      <c r="AG1026" s="52" t="s">
        <v>1131</v>
      </c>
      <c r="AH1026" s="1012">
        <f t="shared" si="16"/>
        <v>0</v>
      </c>
      <c r="AI1026" s="963" t="s">
        <v>1132</v>
      </c>
      <c r="AJ1026" s="1012">
        <f t="shared" si="22"/>
        <v>0</v>
      </c>
      <c r="AK1026" s="963"/>
      <c r="AL1026" s="963"/>
      <c r="AM1026" s="52" t="s">
        <v>1131</v>
      </c>
      <c r="AN1026" s="1012">
        <f t="shared" si="17"/>
        <v>0</v>
      </c>
      <c r="AO1026" s="963" t="s">
        <v>1132</v>
      </c>
      <c r="AP1026" s="1012">
        <f t="shared" si="23"/>
        <v>0</v>
      </c>
      <c r="AQ1026" s="963"/>
    </row>
    <row r="1027" spans="1:43" ht="94.5" x14ac:dyDescent="0.25">
      <c r="A1027" s="1640"/>
      <c r="B1027" s="1641"/>
      <c r="C1027" s="1641"/>
      <c r="D1027" s="1641"/>
      <c r="E1027" s="1641"/>
      <c r="F1027" s="1641"/>
      <c r="G1027" s="1641"/>
      <c r="H1027" s="1642"/>
      <c r="I1027" s="121" t="s">
        <v>1134</v>
      </c>
      <c r="J1027" s="1012">
        <f t="shared" si="12"/>
        <v>0</v>
      </c>
      <c r="K1027" s="963" t="s">
        <v>1133</v>
      </c>
      <c r="L1027" s="1012">
        <f t="shared" si="18"/>
        <v>0</v>
      </c>
      <c r="M1027" s="69"/>
      <c r="N1027" s="963"/>
      <c r="O1027" s="121" t="s">
        <v>1134</v>
      </c>
      <c r="P1027" s="1012">
        <f t="shared" si="13"/>
        <v>0</v>
      </c>
      <c r="Q1027" s="963" t="s">
        <v>1133</v>
      </c>
      <c r="R1027" s="1012">
        <f t="shared" si="19"/>
        <v>0</v>
      </c>
      <c r="S1027" s="963"/>
      <c r="T1027" s="963"/>
      <c r="U1027" s="52" t="s">
        <v>1134</v>
      </c>
      <c r="V1027" s="1012">
        <f t="shared" si="14"/>
        <v>0</v>
      </c>
      <c r="W1027" s="963" t="s">
        <v>1133</v>
      </c>
      <c r="X1027" s="1012">
        <f t="shared" si="20"/>
        <v>0</v>
      </c>
      <c r="Y1027" s="963"/>
      <c r="Z1027" s="963"/>
      <c r="AA1027" s="52" t="s">
        <v>1134</v>
      </c>
      <c r="AB1027" s="1012">
        <f t="shared" si="15"/>
        <v>0</v>
      </c>
      <c r="AC1027" s="963" t="s">
        <v>1133</v>
      </c>
      <c r="AD1027" s="1012">
        <f t="shared" si="21"/>
        <v>0</v>
      </c>
      <c r="AE1027" s="963"/>
      <c r="AF1027" s="963"/>
      <c r="AG1027" s="52" t="s">
        <v>1134</v>
      </c>
      <c r="AH1027" s="1012">
        <f t="shared" si="16"/>
        <v>0</v>
      </c>
      <c r="AI1027" s="963" t="s">
        <v>1133</v>
      </c>
      <c r="AJ1027" s="1012">
        <f t="shared" si="22"/>
        <v>0</v>
      </c>
      <c r="AK1027" s="963"/>
      <c r="AL1027" s="963"/>
      <c r="AM1027" s="52" t="s">
        <v>1134</v>
      </c>
      <c r="AN1027" s="1012">
        <f t="shared" si="17"/>
        <v>0</v>
      </c>
      <c r="AO1027" s="963" t="s">
        <v>1133</v>
      </c>
      <c r="AP1027" s="1012">
        <f t="shared" si="23"/>
        <v>0</v>
      </c>
      <c r="AQ1027" s="963"/>
    </row>
    <row r="1028" spans="1:43" ht="24.4" hidden="1" customHeight="1" x14ac:dyDescent="0.25">
      <c r="A1028" s="1640"/>
      <c r="B1028" s="1641"/>
      <c r="C1028" s="1641"/>
      <c r="D1028" s="1641"/>
      <c r="E1028" s="1641"/>
      <c r="F1028" s="1641"/>
      <c r="G1028" s="1641"/>
      <c r="H1028" s="1642"/>
      <c r="I1028" s="109"/>
      <c r="J1028" s="362"/>
      <c r="K1028" s="27"/>
      <c r="L1028" s="362"/>
      <c r="M1028" s="76"/>
      <c r="N1028" s="27"/>
      <c r="O1028" s="109"/>
      <c r="P1028" s="362"/>
      <c r="Q1028" s="27"/>
      <c r="R1028" s="541"/>
      <c r="S1028" s="27"/>
      <c r="T1028" s="27"/>
      <c r="U1028" s="398"/>
      <c r="V1028" s="362"/>
      <c r="W1028" s="27"/>
      <c r="X1028" s="362"/>
      <c r="Y1028" s="27"/>
      <c r="Z1028" s="27"/>
      <c r="AA1028" s="398"/>
      <c r="AB1028" s="27"/>
      <c r="AC1028" s="27"/>
      <c r="AD1028" s="27"/>
      <c r="AE1028" s="27"/>
      <c r="AF1028" s="27"/>
      <c r="AG1028" s="398"/>
      <c r="AH1028" s="27"/>
      <c r="AI1028" s="27"/>
      <c r="AJ1028" s="27"/>
      <c r="AK1028" s="27"/>
      <c r="AL1028" s="27"/>
      <c r="AM1028" s="398"/>
      <c r="AN1028" s="27"/>
      <c r="AO1028" s="27"/>
      <c r="AP1028" s="27"/>
      <c r="AQ1028" s="27"/>
    </row>
    <row r="1029" spans="1:43" ht="25.15" hidden="1" customHeight="1" x14ac:dyDescent="0.25">
      <c r="A1029" s="1640"/>
      <c r="B1029" s="1641"/>
      <c r="C1029" s="1641"/>
      <c r="D1029" s="1641"/>
      <c r="E1029" s="1641"/>
      <c r="F1029" s="1641"/>
      <c r="G1029" s="1641"/>
      <c r="H1029" s="1642"/>
      <c r="I1029" s="109" t="s">
        <v>1081</v>
      </c>
      <c r="J1029" s="110"/>
      <c r="K1029" s="111"/>
      <c r="L1029" s="110">
        <f>SUM(L1030:L1040)</f>
        <v>1296584.5190000001</v>
      </c>
      <c r="M1029" s="69"/>
      <c r="N1029" s="111"/>
      <c r="O1029" s="109" t="s">
        <v>1081</v>
      </c>
      <c r="P1029" s="110"/>
      <c r="Q1029" s="111"/>
      <c r="R1029" s="559">
        <f>SUM(R1030:R1040)</f>
        <v>848507.49999999988</v>
      </c>
      <c r="S1029" s="111"/>
      <c r="T1029" s="111"/>
      <c r="U1029" s="112" t="s">
        <v>1081</v>
      </c>
      <c r="V1029" s="110"/>
      <c r="W1029" s="111"/>
      <c r="X1029" s="110">
        <f>SUM(X1030:X1040)</f>
        <v>880552.60000000009</v>
      </c>
      <c r="Y1029" s="111"/>
      <c r="Z1029" s="111"/>
      <c r="AA1029" s="112" t="s">
        <v>1081</v>
      </c>
      <c r="AB1029" s="113"/>
      <c r="AC1029" s="111"/>
      <c r="AD1029" s="110">
        <f>SUM(AD1030:AD1040)</f>
        <v>880552.60000000009</v>
      </c>
      <c r="AE1029" s="111"/>
      <c r="AF1029" s="111"/>
      <c r="AG1029" s="112" t="s">
        <v>1081</v>
      </c>
      <c r="AH1029" s="113"/>
      <c r="AI1029" s="111"/>
      <c r="AJ1029" s="110">
        <f>SUM(AJ1030:AJ1040)</f>
        <v>880552.60000000009</v>
      </c>
      <c r="AK1029" s="111"/>
      <c r="AL1029" s="111"/>
      <c r="AM1029" s="112" t="s">
        <v>1081</v>
      </c>
      <c r="AN1029" s="113"/>
      <c r="AO1029" s="111"/>
      <c r="AP1029" s="110">
        <f>SUM(AP1030:AP1040)</f>
        <v>880552.60000000009</v>
      </c>
      <c r="AQ1029" s="111"/>
    </row>
    <row r="1030" spans="1:43" ht="112.5" hidden="1" customHeight="1" x14ac:dyDescent="0.25">
      <c r="A1030" s="1640"/>
      <c r="B1030" s="1641"/>
      <c r="C1030" s="1641"/>
      <c r="D1030" s="1641"/>
      <c r="E1030" s="1641"/>
      <c r="F1030" s="1641"/>
      <c r="G1030" s="1641"/>
      <c r="H1030" s="1642"/>
      <c r="I1030" s="114" t="s">
        <v>1092</v>
      </c>
      <c r="J1030" s="1012">
        <f>J976</f>
        <v>255986.69</v>
      </c>
      <c r="K1030" s="1012" t="str">
        <f t="shared" ref="K1030:L1030" si="24">K976</f>
        <v>кв.м</v>
      </c>
      <c r="L1030" s="1012">
        <f t="shared" si="24"/>
        <v>300576.28200000001</v>
      </c>
      <c r="M1030" s="69"/>
      <c r="N1030" s="963"/>
      <c r="O1030" s="114" t="s">
        <v>1092</v>
      </c>
      <c r="P1030" s="1012">
        <f>P976</f>
        <v>264000</v>
      </c>
      <c r="Q1030" s="1012" t="str">
        <f t="shared" ref="Q1030:R1030" si="25">Q976</f>
        <v>кв.м</v>
      </c>
      <c r="R1030" s="541">
        <f t="shared" si="25"/>
        <v>277461.90000000002</v>
      </c>
      <c r="S1030" s="963"/>
      <c r="T1030" s="963"/>
      <c r="U1030" s="116" t="s">
        <v>1092</v>
      </c>
      <c r="V1030" s="1012">
        <f>V976</f>
        <v>264000</v>
      </c>
      <c r="W1030" s="1012" t="str">
        <f t="shared" ref="W1030:X1030" si="26">W976</f>
        <v>кв.м</v>
      </c>
      <c r="X1030" s="115">
        <f t="shared" si="26"/>
        <v>287940.7</v>
      </c>
      <c r="Y1030" s="963"/>
      <c r="Z1030" s="963"/>
      <c r="AA1030" s="116" t="s">
        <v>1092</v>
      </c>
      <c r="AB1030" s="1012">
        <f>AB976</f>
        <v>264000</v>
      </c>
      <c r="AC1030" s="1012" t="str">
        <f t="shared" ref="AC1030:AD1030" si="27">AC976</f>
        <v>кв.м</v>
      </c>
      <c r="AD1030" s="115">
        <f t="shared" si="27"/>
        <v>287940.7</v>
      </c>
      <c r="AE1030" s="963"/>
      <c r="AF1030" s="963"/>
      <c r="AG1030" s="116" t="s">
        <v>1092</v>
      </c>
      <c r="AH1030" s="1012">
        <f>AH976</f>
        <v>264000</v>
      </c>
      <c r="AI1030" s="1012" t="str">
        <f t="shared" ref="AI1030:AJ1030" si="28">AI976</f>
        <v>кв.м</v>
      </c>
      <c r="AJ1030" s="115">
        <f t="shared" si="28"/>
        <v>287940.7</v>
      </c>
      <c r="AK1030" s="963"/>
      <c r="AL1030" s="963"/>
      <c r="AM1030" s="116" t="s">
        <v>1092</v>
      </c>
      <c r="AN1030" s="1012">
        <f>AN976</f>
        <v>264000</v>
      </c>
      <c r="AO1030" s="1012" t="str">
        <f t="shared" ref="AO1030:AP1030" si="29">AO976</f>
        <v>кв.м</v>
      </c>
      <c r="AP1030" s="1012">
        <f t="shared" si="29"/>
        <v>287940.7</v>
      </c>
      <c r="AQ1030" s="111"/>
    </row>
    <row r="1031" spans="1:43" ht="112.5" hidden="1" customHeight="1" x14ac:dyDescent="0.25">
      <c r="A1031" s="1640"/>
      <c r="B1031" s="1641"/>
      <c r="C1031" s="1641"/>
      <c r="D1031" s="1641"/>
      <c r="E1031" s="1641"/>
      <c r="F1031" s="1641"/>
      <c r="G1031" s="1641"/>
      <c r="H1031" s="1642"/>
      <c r="I1031" s="114" t="s">
        <v>1092</v>
      </c>
      <c r="J1031" s="1012">
        <f t="shared" ref="J1031:L1031" si="30">J977</f>
        <v>255986.69</v>
      </c>
      <c r="K1031" s="1012" t="str">
        <f t="shared" si="30"/>
        <v>кв.м</v>
      </c>
      <c r="L1031" s="1012">
        <f t="shared" si="30"/>
        <v>300576.28200000001</v>
      </c>
      <c r="M1031" s="69"/>
      <c r="N1031" s="963"/>
      <c r="O1031" s="114" t="s">
        <v>1092</v>
      </c>
      <c r="P1031" s="1012">
        <f t="shared" ref="P1031:R1031" si="31">P977</f>
        <v>8700</v>
      </c>
      <c r="Q1031" s="1012" t="str">
        <f t="shared" si="31"/>
        <v>кв.м</v>
      </c>
      <c r="R1031" s="541">
        <f t="shared" si="31"/>
        <v>5260.7</v>
      </c>
      <c r="S1031" s="963"/>
      <c r="T1031" s="963"/>
      <c r="U1031" s="116" t="s">
        <v>1092</v>
      </c>
      <c r="V1031" s="1012">
        <f t="shared" ref="V1031:X1031" si="32">V977</f>
        <v>8700</v>
      </c>
      <c r="W1031" s="1012" t="str">
        <f t="shared" si="32"/>
        <v>кв.м</v>
      </c>
      <c r="X1031" s="115">
        <f t="shared" si="32"/>
        <v>5459.4</v>
      </c>
      <c r="Y1031" s="963"/>
      <c r="Z1031" s="963"/>
      <c r="AA1031" s="116" t="s">
        <v>1092</v>
      </c>
      <c r="AB1031" s="1012">
        <f t="shared" ref="AB1031:AD1031" si="33">AB977</f>
        <v>8700</v>
      </c>
      <c r="AC1031" s="1012" t="str">
        <f t="shared" si="33"/>
        <v>кв.м</v>
      </c>
      <c r="AD1031" s="115">
        <f t="shared" si="33"/>
        <v>5459.4</v>
      </c>
      <c r="AE1031" s="963"/>
      <c r="AF1031" s="963"/>
      <c r="AG1031" s="116" t="s">
        <v>1092</v>
      </c>
      <c r="AH1031" s="1012">
        <f t="shared" ref="AH1031:AJ1031" si="34">AH977</f>
        <v>8700</v>
      </c>
      <c r="AI1031" s="1012" t="str">
        <f t="shared" si="34"/>
        <v>кв.м</v>
      </c>
      <c r="AJ1031" s="115">
        <f t="shared" si="34"/>
        <v>5459.4</v>
      </c>
      <c r="AK1031" s="963"/>
      <c r="AL1031" s="963"/>
      <c r="AM1031" s="116" t="s">
        <v>1092</v>
      </c>
      <c r="AN1031" s="1012">
        <f t="shared" ref="AN1031:AP1031" si="35">AN977</f>
        <v>8700</v>
      </c>
      <c r="AO1031" s="1012" t="str">
        <f t="shared" si="35"/>
        <v>кв.м</v>
      </c>
      <c r="AP1031" s="1012">
        <f t="shared" si="35"/>
        <v>5459.4</v>
      </c>
      <c r="AQ1031" s="111"/>
    </row>
    <row r="1032" spans="1:43" ht="105" hidden="1" x14ac:dyDescent="0.25">
      <c r="A1032" s="1640"/>
      <c r="B1032" s="1641"/>
      <c r="C1032" s="1641"/>
      <c r="D1032" s="1641"/>
      <c r="E1032" s="1641"/>
      <c r="F1032" s="1641"/>
      <c r="G1032" s="1641"/>
      <c r="H1032" s="1642"/>
      <c r="I1032" s="114" t="s">
        <v>1083</v>
      </c>
      <c r="J1032" s="1012">
        <f t="shared" ref="J1032:L1032" si="36">J978</f>
        <v>165265</v>
      </c>
      <c r="K1032" s="1012" t="str">
        <f t="shared" si="36"/>
        <v>кв.м</v>
      </c>
      <c r="L1032" s="1012">
        <f t="shared" si="36"/>
        <v>13392.481</v>
      </c>
      <c r="M1032" s="69"/>
      <c r="N1032" s="963"/>
      <c r="O1032" s="114" t="s">
        <v>1083</v>
      </c>
      <c r="P1032" s="1012">
        <f t="shared" ref="P1032:R1032" si="37">P978</f>
        <v>154000</v>
      </c>
      <c r="Q1032" s="1012" t="str">
        <f t="shared" si="37"/>
        <v>кв.м</v>
      </c>
      <c r="R1032" s="541">
        <f t="shared" si="37"/>
        <v>11879.1</v>
      </c>
      <c r="S1032" s="963"/>
      <c r="T1032" s="963"/>
      <c r="U1032" s="116" t="s">
        <v>1083</v>
      </c>
      <c r="V1032" s="1012">
        <f t="shared" ref="V1032:X1032" si="38">V978</f>
        <v>154000</v>
      </c>
      <c r="W1032" s="1012" t="str">
        <f t="shared" si="38"/>
        <v>кв.м</v>
      </c>
      <c r="X1032" s="115">
        <f t="shared" si="38"/>
        <v>12327.7</v>
      </c>
      <c r="Y1032" s="963"/>
      <c r="Z1032" s="963"/>
      <c r="AA1032" s="116" t="s">
        <v>1083</v>
      </c>
      <c r="AB1032" s="1012">
        <f t="shared" ref="AB1032:AD1032" si="39">AB978</f>
        <v>154000</v>
      </c>
      <c r="AC1032" s="1012" t="str">
        <f t="shared" si="39"/>
        <v>кв.м</v>
      </c>
      <c r="AD1032" s="115">
        <f t="shared" si="39"/>
        <v>12327.7</v>
      </c>
      <c r="AE1032" s="963"/>
      <c r="AF1032" s="963"/>
      <c r="AG1032" s="116" t="s">
        <v>1083</v>
      </c>
      <c r="AH1032" s="1012">
        <f t="shared" ref="AH1032:AJ1032" si="40">AH978</f>
        <v>154000</v>
      </c>
      <c r="AI1032" s="1012" t="str">
        <f t="shared" si="40"/>
        <v>кв.м</v>
      </c>
      <c r="AJ1032" s="115">
        <f t="shared" si="40"/>
        <v>12327.7</v>
      </c>
      <c r="AK1032" s="963"/>
      <c r="AL1032" s="963"/>
      <c r="AM1032" s="116" t="s">
        <v>1083</v>
      </c>
      <c r="AN1032" s="1012">
        <f t="shared" ref="AN1032:AP1032" si="41">AN978</f>
        <v>154000</v>
      </c>
      <c r="AO1032" s="1012" t="str">
        <f t="shared" si="41"/>
        <v>кв.м</v>
      </c>
      <c r="AP1032" s="1012">
        <f t="shared" si="41"/>
        <v>12327.7</v>
      </c>
      <c r="AQ1032" s="111"/>
    </row>
    <row r="1033" spans="1:43" ht="180" hidden="1" x14ac:dyDescent="0.25">
      <c r="A1033" s="1640"/>
      <c r="B1033" s="1641"/>
      <c r="C1033" s="1641"/>
      <c r="D1033" s="1641"/>
      <c r="E1033" s="1641"/>
      <c r="F1033" s="1641"/>
      <c r="G1033" s="1641"/>
      <c r="H1033" s="1642"/>
      <c r="I1033" s="114" t="s">
        <v>1084</v>
      </c>
      <c r="J1033" s="1012">
        <f t="shared" ref="J1033:L1033" si="42">J979</f>
        <v>14042.6</v>
      </c>
      <c r="K1033" s="1012" t="str">
        <f t="shared" si="42"/>
        <v>кв.м</v>
      </c>
      <c r="L1033" s="1012">
        <f t="shared" si="42"/>
        <v>14867.058000000001</v>
      </c>
      <c r="M1033" s="69"/>
      <c r="N1033" s="963"/>
      <c r="O1033" s="114" t="s">
        <v>1084</v>
      </c>
      <c r="P1033" s="1012">
        <f t="shared" ref="P1033:R1033" si="43">P979</f>
        <v>5200</v>
      </c>
      <c r="Q1033" s="1012" t="str">
        <f t="shared" si="43"/>
        <v>кв.м</v>
      </c>
      <c r="R1033" s="541">
        <f t="shared" si="43"/>
        <v>4751.6000000000004</v>
      </c>
      <c r="S1033" s="963"/>
      <c r="T1033" s="963"/>
      <c r="U1033" s="116" t="s">
        <v>1084</v>
      </c>
      <c r="V1033" s="1012">
        <f t="shared" ref="V1033:X1033" si="44">V979</f>
        <v>5200</v>
      </c>
      <c r="W1033" s="1012" t="str">
        <f t="shared" si="44"/>
        <v>кв.м</v>
      </c>
      <c r="X1033" s="115">
        <f t="shared" si="44"/>
        <v>4931.1000000000004</v>
      </c>
      <c r="Y1033" s="963"/>
      <c r="Z1033" s="963"/>
      <c r="AA1033" s="116" t="s">
        <v>1084</v>
      </c>
      <c r="AB1033" s="1012">
        <f t="shared" ref="AB1033:AD1033" si="45">AB979</f>
        <v>5200</v>
      </c>
      <c r="AC1033" s="1012" t="str">
        <f t="shared" si="45"/>
        <v>кв.м</v>
      </c>
      <c r="AD1033" s="115">
        <f t="shared" si="45"/>
        <v>4931.1000000000004</v>
      </c>
      <c r="AE1033" s="963"/>
      <c r="AF1033" s="963"/>
      <c r="AG1033" s="116" t="s">
        <v>1084</v>
      </c>
      <c r="AH1033" s="1012">
        <f t="shared" ref="AH1033:AJ1033" si="46">AH979</f>
        <v>5200</v>
      </c>
      <c r="AI1033" s="1012" t="str">
        <f t="shared" si="46"/>
        <v>кв.м</v>
      </c>
      <c r="AJ1033" s="115">
        <f t="shared" si="46"/>
        <v>4931.1000000000004</v>
      </c>
      <c r="AK1033" s="963"/>
      <c r="AL1033" s="963"/>
      <c r="AM1033" s="116" t="s">
        <v>1084</v>
      </c>
      <c r="AN1033" s="1012">
        <f t="shared" ref="AN1033:AP1033" si="47">AN979</f>
        <v>5200</v>
      </c>
      <c r="AO1033" s="1012" t="str">
        <f t="shared" si="47"/>
        <v>кв.м</v>
      </c>
      <c r="AP1033" s="1012">
        <f t="shared" si="47"/>
        <v>4931.1000000000004</v>
      </c>
      <c r="AQ1033" s="111"/>
    </row>
    <row r="1034" spans="1:43" ht="131.85" hidden="1" customHeight="1" x14ac:dyDescent="0.25">
      <c r="A1034" s="1640"/>
      <c r="B1034" s="1641"/>
      <c r="C1034" s="1641"/>
      <c r="D1034" s="1641"/>
      <c r="E1034" s="1641"/>
      <c r="F1034" s="1641"/>
      <c r="G1034" s="1641"/>
      <c r="H1034" s="1642"/>
      <c r="I1034" s="114" t="s">
        <v>1085</v>
      </c>
      <c r="J1034" s="1012">
        <f t="shared" ref="J1034:L1034" si="48">J980</f>
        <v>1146567.3</v>
      </c>
      <c r="K1034" s="1012" t="str">
        <f t="shared" si="48"/>
        <v>кв.м</v>
      </c>
      <c r="L1034" s="1012">
        <f t="shared" si="48"/>
        <v>115021.308</v>
      </c>
      <c r="M1034" s="69"/>
      <c r="N1034" s="963"/>
      <c r="O1034" s="114" t="s">
        <v>1085</v>
      </c>
      <c r="P1034" s="1012">
        <f t="shared" ref="P1034:R1034" si="49">P980</f>
        <v>874000</v>
      </c>
      <c r="Q1034" s="1012" t="str">
        <f t="shared" si="49"/>
        <v>кв.м</v>
      </c>
      <c r="R1034" s="541">
        <f t="shared" si="49"/>
        <v>98426.9</v>
      </c>
      <c r="S1034" s="963"/>
      <c r="T1034" s="963"/>
      <c r="U1034" s="116" t="s">
        <v>1085</v>
      </c>
      <c r="V1034" s="1012">
        <f t="shared" ref="V1034:X1034" si="50">V980</f>
        <v>874000</v>
      </c>
      <c r="W1034" s="1012" t="str">
        <f t="shared" si="50"/>
        <v>кв.м</v>
      </c>
      <c r="X1034" s="115">
        <f t="shared" si="50"/>
        <v>102144.1</v>
      </c>
      <c r="Y1034" s="963"/>
      <c r="Z1034" s="963"/>
      <c r="AA1034" s="116" t="s">
        <v>1085</v>
      </c>
      <c r="AB1034" s="1012">
        <f t="shared" ref="AB1034:AD1034" si="51">AB980</f>
        <v>874000</v>
      </c>
      <c r="AC1034" s="1012" t="str">
        <f t="shared" si="51"/>
        <v>кв.м</v>
      </c>
      <c r="AD1034" s="115">
        <f t="shared" si="51"/>
        <v>102144.1</v>
      </c>
      <c r="AE1034" s="963"/>
      <c r="AF1034" s="963"/>
      <c r="AG1034" s="116" t="s">
        <v>1085</v>
      </c>
      <c r="AH1034" s="1012">
        <f t="shared" ref="AH1034:AJ1034" si="52">AH980</f>
        <v>874000</v>
      </c>
      <c r="AI1034" s="1012" t="str">
        <f t="shared" si="52"/>
        <v>кв.м</v>
      </c>
      <c r="AJ1034" s="115">
        <f t="shared" si="52"/>
        <v>102144.1</v>
      </c>
      <c r="AK1034" s="963"/>
      <c r="AL1034" s="963"/>
      <c r="AM1034" s="116" t="s">
        <v>1085</v>
      </c>
      <c r="AN1034" s="1012">
        <f t="shared" ref="AN1034:AP1034" si="53">AN980</f>
        <v>874000</v>
      </c>
      <c r="AO1034" s="1012" t="str">
        <f t="shared" si="53"/>
        <v>кв.м</v>
      </c>
      <c r="AP1034" s="1012">
        <f t="shared" si="53"/>
        <v>102144.1</v>
      </c>
      <c r="AQ1034" s="111"/>
    </row>
    <row r="1035" spans="1:43" ht="132.4" hidden="1" customHeight="1" x14ac:dyDescent="0.25">
      <c r="A1035" s="1640"/>
      <c r="B1035" s="1641"/>
      <c r="C1035" s="1641"/>
      <c r="D1035" s="1641"/>
      <c r="E1035" s="1641"/>
      <c r="F1035" s="1641"/>
      <c r="G1035" s="1641"/>
      <c r="H1035" s="1642"/>
      <c r="I1035" s="114" t="s">
        <v>1086</v>
      </c>
      <c r="J1035" s="1012">
        <f t="shared" ref="J1035:L1035" si="54">J981</f>
        <v>375057</v>
      </c>
      <c r="K1035" s="1012" t="str">
        <f t="shared" si="54"/>
        <v>кв.м</v>
      </c>
      <c r="L1035" s="1012">
        <f t="shared" si="54"/>
        <v>6084.6080000000002</v>
      </c>
      <c r="M1035" s="69"/>
      <c r="N1035" s="963"/>
      <c r="O1035" s="114" t="s">
        <v>1086</v>
      </c>
      <c r="P1035" s="1012">
        <f t="shared" ref="P1035:R1035" si="55">P981</f>
        <v>399000</v>
      </c>
      <c r="Q1035" s="1012" t="str">
        <f t="shared" si="55"/>
        <v>кв.м</v>
      </c>
      <c r="R1035" s="541">
        <f t="shared" si="55"/>
        <v>11964</v>
      </c>
      <c r="S1035" s="963"/>
      <c r="T1035" s="963"/>
      <c r="U1035" s="116" t="s">
        <v>1086</v>
      </c>
      <c r="V1035" s="1012">
        <f t="shared" ref="V1035:X1035" si="56">V981</f>
        <v>399000</v>
      </c>
      <c r="W1035" s="1012" t="str">
        <f t="shared" si="56"/>
        <v>кв.м</v>
      </c>
      <c r="X1035" s="115">
        <f t="shared" si="56"/>
        <v>12415.8</v>
      </c>
      <c r="Y1035" s="963"/>
      <c r="Z1035" s="963"/>
      <c r="AA1035" s="116" t="s">
        <v>1086</v>
      </c>
      <c r="AB1035" s="1012">
        <f t="shared" ref="AB1035:AD1035" si="57">AB981</f>
        <v>399000</v>
      </c>
      <c r="AC1035" s="1012" t="str">
        <f t="shared" si="57"/>
        <v>кв.м</v>
      </c>
      <c r="AD1035" s="115">
        <f t="shared" si="57"/>
        <v>12415.8</v>
      </c>
      <c r="AE1035" s="963"/>
      <c r="AF1035" s="963"/>
      <c r="AG1035" s="116" t="s">
        <v>1086</v>
      </c>
      <c r="AH1035" s="1012">
        <f t="shared" ref="AH1035:AJ1035" si="58">AH981</f>
        <v>399000</v>
      </c>
      <c r="AI1035" s="1012" t="str">
        <f t="shared" si="58"/>
        <v>кв.м</v>
      </c>
      <c r="AJ1035" s="115">
        <f t="shared" si="58"/>
        <v>12415.8</v>
      </c>
      <c r="AK1035" s="963"/>
      <c r="AL1035" s="963"/>
      <c r="AM1035" s="116" t="s">
        <v>1086</v>
      </c>
      <c r="AN1035" s="1012">
        <f t="shared" ref="AN1035:AP1035" si="59">AN981</f>
        <v>399000</v>
      </c>
      <c r="AO1035" s="1012" t="str">
        <f t="shared" si="59"/>
        <v>кв.м</v>
      </c>
      <c r="AP1035" s="1012">
        <f t="shared" si="59"/>
        <v>12415.8</v>
      </c>
      <c r="AQ1035" s="111"/>
    </row>
    <row r="1036" spans="1:43" ht="35.65" hidden="1" customHeight="1" x14ac:dyDescent="0.25">
      <c r="A1036" s="1640"/>
      <c r="B1036" s="1641"/>
      <c r="C1036" s="1641"/>
      <c r="D1036" s="1641"/>
      <c r="E1036" s="1641"/>
      <c r="F1036" s="1641"/>
      <c r="G1036" s="1641"/>
      <c r="H1036" s="1642"/>
      <c r="I1036" s="114" t="s">
        <v>1087</v>
      </c>
      <c r="J1036" s="1012">
        <f t="shared" ref="J1036:L1036" si="60">J982</f>
        <v>56497310</v>
      </c>
      <c r="K1036" s="1012" t="str">
        <f t="shared" si="60"/>
        <v>кв.м</v>
      </c>
      <c r="L1036" s="1012">
        <f t="shared" si="60"/>
        <v>25645.388999999999</v>
      </c>
      <c r="M1036" s="69"/>
      <c r="N1036" s="963"/>
      <c r="O1036" s="114" t="s">
        <v>1087</v>
      </c>
      <c r="P1036" s="1012">
        <f t="shared" ref="P1036:R1036" si="61">P982</f>
        <v>70511000</v>
      </c>
      <c r="Q1036" s="1012" t="str">
        <f t="shared" si="61"/>
        <v>кв.м</v>
      </c>
      <c r="R1036" s="541">
        <f t="shared" si="61"/>
        <v>30546.3</v>
      </c>
      <c r="S1036" s="963"/>
      <c r="T1036" s="963"/>
      <c r="U1036" s="116" t="s">
        <v>1087</v>
      </c>
      <c r="V1036" s="1012">
        <f t="shared" ref="V1036:X1036" si="62">V982</f>
        <v>70511000</v>
      </c>
      <c r="W1036" s="1012" t="str">
        <f t="shared" si="62"/>
        <v>кв.м</v>
      </c>
      <c r="X1036" s="115">
        <f t="shared" si="62"/>
        <v>31699.9</v>
      </c>
      <c r="Y1036" s="963"/>
      <c r="Z1036" s="963"/>
      <c r="AA1036" s="116" t="s">
        <v>1087</v>
      </c>
      <c r="AB1036" s="1012">
        <f t="shared" ref="AB1036:AD1036" si="63">AB982</f>
        <v>70511000</v>
      </c>
      <c r="AC1036" s="1012" t="str">
        <f t="shared" si="63"/>
        <v>кв.м</v>
      </c>
      <c r="AD1036" s="115">
        <f t="shared" si="63"/>
        <v>31699.9</v>
      </c>
      <c r="AE1036" s="963"/>
      <c r="AF1036" s="963"/>
      <c r="AG1036" s="116" t="s">
        <v>1087</v>
      </c>
      <c r="AH1036" s="1012">
        <f t="shared" ref="AH1036:AJ1036" si="64">AH982</f>
        <v>70511000</v>
      </c>
      <c r="AI1036" s="1012" t="str">
        <f t="shared" si="64"/>
        <v>кв.м</v>
      </c>
      <c r="AJ1036" s="115">
        <f t="shared" si="64"/>
        <v>31699.9</v>
      </c>
      <c r="AK1036" s="963"/>
      <c r="AL1036" s="963"/>
      <c r="AM1036" s="116" t="s">
        <v>1087</v>
      </c>
      <c r="AN1036" s="1012">
        <f t="shared" ref="AN1036:AP1036" si="65">AN982</f>
        <v>70511000</v>
      </c>
      <c r="AO1036" s="1012" t="str">
        <f t="shared" si="65"/>
        <v>кв.м</v>
      </c>
      <c r="AP1036" s="115">
        <f t="shared" si="65"/>
        <v>31699.9</v>
      </c>
      <c r="AQ1036" s="111"/>
    </row>
    <row r="1037" spans="1:43" ht="68.849999999999994" hidden="1" customHeight="1" x14ac:dyDescent="0.25">
      <c r="A1037" s="1640"/>
      <c r="B1037" s="1641"/>
      <c r="C1037" s="1641"/>
      <c r="D1037" s="1641"/>
      <c r="E1037" s="1641"/>
      <c r="F1037" s="1641"/>
      <c r="G1037" s="1641"/>
      <c r="H1037" s="1642"/>
      <c r="I1037" s="114" t="s">
        <v>1088</v>
      </c>
      <c r="J1037" s="1012">
        <f t="shared" ref="J1037:L1037" si="66">J983</f>
        <v>524307.69999999995</v>
      </c>
      <c r="K1037" s="1012" t="str">
        <f t="shared" si="66"/>
        <v>кв.м</v>
      </c>
      <c r="L1037" s="1012">
        <f t="shared" si="66"/>
        <v>472230.745</v>
      </c>
      <c r="M1037" s="69"/>
      <c r="N1037" s="111"/>
      <c r="O1037" s="114" t="s">
        <v>1088</v>
      </c>
      <c r="P1037" s="1012">
        <f t="shared" ref="P1037:R1037" si="67">P983</f>
        <v>374000</v>
      </c>
      <c r="Q1037" s="1012" t="str">
        <f t="shared" si="67"/>
        <v>кв.м</v>
      </c>
      <c r="R1037" s="541">
        <f t="shared" si="67"/>
        <v>316493.3</v>
      </c>
      <c r="S1037" s="963"/>
      <c r="T1037" s="963"/>
      <c r="U1037" s="116" t="s">
        <v>1088</v>
      </c>
      <c r="V1037" s="1012">
        <f t="shared" ref="V1037:X1037" si="68">V983</f>
        <v>374000</v>
      </c>
      <c r="W1037" s="1012" t="str">
        <f t="shared" si="68"/>
        <v>кв.м</v>
      </c>
      <c r="X1037" s="115">
        <f t="shared" si="68"/>
        <v>328446.09999999998</v>
      </c>
      <c r="Y1037" s="963"/>
      <c r="Z1037" s="963"/>
      <c r="AA1037" s="116" t="s">
        <v>1088</v>
      </c>
      <c r="AB1037" s="1012">
        <f t="shared" ref="AB1037:AD1037" si="69">AB983</f>
        <v>374000</v>
      </c>
      <c r="AC1037" s="1012" t="str">
        <f t="shared" si="69"/>
        <v>кв.м</v>
      </c>
      <c r="AD1037" s="115">
        <f t="shared" si="69"/>
        <v>328446.09999999998</v>
      </c>
      <c r="AE1037" s="963"/>
      <c r="AF1037" s="963"/>
      <c r="AG1037" s="116" t="s">
        <v>1088</v>
      </c>
      <c r="AH1037" s="1012">
        <f t="shared" ref="AH1037:AJ1037" si="70">AH983</f>
        <v>374000</v>
      </c>
      <c r="AI1037" s="1012" t="str">
        <f t="shared" si="70"/>
        <v>кв.м</v>
      </c>
      <c r="AJ1037" s="115">
        <f t="shared" si="70"/>
        <v>328446.09999999998</v>
      </c>
      <c r="AK1037" s="963"/>
      <c r="AL1037" s="963"/>
      <c r="AM1037" s="116" t="s">
        <v>1088</v>
      </c>
      <c r="AN1037" s="1012">
        <f t="shared" ref="AN1037:AP1037" si="71">AN983</f>
        <v>374000</v>
      </c>
      <c r="AO1037" s="1012" t="str">
        <f t="shared" si="71"/>
        <v>кв.м</v>
      </c>
      <c r="AP1037" s="115">
        <f t="shared" si="71"/>
        <v>328446.09999999998</v>
      </c>
      <c r="AQ1037" s="111"/>
    </row>
    <row r="1038" spans="1:43" ht="65.650000000000006" hidden="1" customHeight="1" x14ac:dyDescent="0.25">
      <c r="A1038" s="1640"/>
      <c r="B1038" s="1641"/>
      <c r="C1038" s="1641"/>
      <c r="D1038" s="1641"/>
      <c r="E1038" s="1641"/>
      <c r="F1038" s="1641"/>
      <c r="G1038" s="1641"/>
      <c r="H1038" s="1642"/>
      <c r="I1038" s="114" t="s">
        <v>1089</v>
      </c>
      <c r="J1038" s="1012">
        <f t="shared" ref="J1038:L1038" si="72">J984</f>
        <v>16208.9</v>
      </c>
      <c r="K1038" s="1012" t="str">
        <f t="shared" si="72"/>
        <v>кв.м</v>
      </c>
      <c r="L1038" s="1012">
        <f t="shared" si="72"/>
        <v>14109.117</v>
      </c>
      <c r="M1038" s="69"/>
      <c r="N1038" s="111"/>
      <c r="O1038" s="114" t="s">
        <v>1089</v>
      </c>
      <c r="P1038" s="1012">
        <f t="shared" ref="P1038:R1038" si="73">P984</f>
        <v>9000</v>
      </c>
      <c r="Q1038" s="1012" t="str">
        <f t="shared" si="73"/>
        <v>кв.м</v>
      </c>
      <c r="R1038" s="541">
        <f t="shared" si="73"/>
        <v>6872.9</v>
      </c>
      <c r="S1038" s="963"/>
      <c r="T1038" s="963"/>
      <c r="U1038" s="116" t="s">
        <v>1089</v>
      </c>
      <c r="V1038" s="1012">
        <f t="shared" ref="V1038:X1038" si="74">V984</f>
        <v>9000</v>
      </c>
      <c r="W1038" s="1012" t="str">
        <f t="shared" si="74"/>
        <v>кв.м</v>
      </c>
      <c r="X1038" s="115">
        <f t="shared" si="74"/>
        <v>7132.5</v>
      </c>
      <c r="Y1038" s="963"/>
      <c r="Z1038" s="963"/>
      <c r="AA1038" s="116" t="s">
        <v>1089</v>
      </c>
      <c r="AB1038" s="1012">
        <f t="shared" ref="AB1038:AD1038" si="75">AB984</f>
        <v>9000</v>
      </c>
      <c r="AC1038" s="1012" t="str">
        <f t="shared" si="75"/>
        <v>кв.м</v>
      </c>
      <c r="AD1038" s="115">
        <f t="shared" si="75"/>
        <v>7132.5</v>
      </c>
      <c r="AE1038" s="963"/>
      <c r="AF1038" s="963"/>
      <c r="AG1038" s="116" t="s">
        <v>1089</v>
      </c>
      <c r="AH1038" s="1012">
        <f t="shared" ref="AH1038:AJ1038" si="76">AH984</f>
        <v>9000</v>
      </c>
      <c r="AI1038" s="1012" t="str">
        <f t="shared" si="76"/>
        <v>кв.м</v>
      </c>
      <c r="AJ1038" s="115">
        <f t="shared" si="76"/>
        <v>7132.5</v>
      </c>
      <c r="AK1038" s="963"/>
      <c r="AL1038" s="963"/>
      <c r="AM1038" s="116" t="s">
        <v>1089</v>
      </c>
      <c r="AN1038" s="1012">
        <f t="shared" ref="AN1038:AP1038" si="77">AN984</f>
        <v>9000</v>
      </c>
      <c r="AO1038" s="1012" t="str">
        <f t="shared" si="77"/>
        <v>кв.м</v>
      </c>
      <c r="AP1038" s="115">
        <f t="shared" si="77"/>
        <v>7132.5</v>
      </c>
      <c r="AQ1038" s="111"/>
    </row>
    <row r="1039" spans="1:43" ht="75" hidden="1" x14ac:dyDescent="0.25">
      <c r="A1039" s="1640"/>
      <c r="B1039" s="1641"/>
      <c r="C1039" s="1641"/>
      <c r="D1039" s="1641"/>
      <c r="E1039" s="1641"/>
      <c r="F1039" s="1641"/>
      <c r="G1039" s="1641"/>
      <c r="H1039" s="1642"/>
      <c r="I1039" s="114" t="s">
        <v>1090</v>
      </c>
      <c r="J1039" s="1012">
        <f t="shared" ref="J1039:L1039" si="78">J985</f>
        <v>8164.5</v>
      </c>
      <c r="K1039" s="1012" t="str">
        <f t="shared" si="78"/>
        <v>кв.м</v>
      </c>
      <c r="L1039" s="1012">
        <f t="shared" si="78"/>
        <v>26813.688999999998</v>
      </c>
      <c r="M1039" s="69"/>
      <c r="N1039" s="111"/>
      <c r="O1039" s="114" t="s">
        <v>1090</v>
      </c>
      <c r="P1039" s="1012">
        <f t="shared" ref="P1039:R1039" si="79">P985</f>
        <v>23000</v>
      </c>
      <c r="Q1039" s="1012" t="str">
        <f t="shared" si="79"/>
        <v>кв.м</v>
      </c>
      <c r="R1039" s="541">
        <f t="shared" si="79"/>
        <v>82899.199999999997</v>
      </c>
      <c r="S1039" s="963"/>
      <c r="T1039" s="963"/>
      <c r="U1039" s="116" t="s">
        <v>1090</v>
      </c>
      <c r="V1039" s="1012">
        <f t="shared" ref="V1039:X1039" si="80">V985</f>
        <v>23000</v>
      </c>
      <c r="W1039" s="1012" t="str">
        <f t="shared" si="80"/>
        <v>кв.м</v>
      </c>
      <c r="X1039" s="115">
        <f t="shared" si="80"/>
        <v>86030</v>
      </c>
      <c r="Y1039" s="963"/>
      <c r="Z1039" s="963"/>
      <c r="AA1039" s="116" t="s">
        <v>1090</v>
      </c>
      <c r="AB1039" s="1012">
        <f t="shared" ref="AB1039:AD1039" si="81">AB985</f>
        <v>23000</v>
      </c>
      <c r="AC1039" s="1012" t="str">
        <f t="shared" si="81"/>
        <v>кв.м</v>
      </c>
      <c r="AD1039" s="115">
        <f t="shared" si="81"/>
        <v>86030</v>
      </c>
      <c r="AE1039" s="963"/>
      <c r="AF1039" s="963"/>
      <c r="AG1039" s="116" t="s">
        <v>1090</v>
      </c>
      <c r="AH1039" s="1012">
        <f t="shared" ref="AH1039:AJ1039" si="82">AH985</f>
        <v>23000</v>
      </c>
      <c r="AI1039" s="1012" t="str">
        <f t="shared" si="82"/>
        <v>кв.м</v>
      </c>
      <c r="AJ1039" s="115">
        <f t="shared" si="82"/>
        <v>86030</v>
      </c>
      <c r="AK1039" s="963"/>
      <c r="AL1039" s="963"/>
      <c r="AM1039" s="116" t="s">
        <v>1090</v>
      </c>
      <c r="AN1039" s="1012">
        <f t="shared" ref="AN1039:AP1039" si="83">AN985</f>
        <v>23000</v>
      </c>
      <c r="AO1039" s="1012" t="str">
        <f t="shared" si="83"/>
        <v>кв.м</v>
      </c>
      <c r="AP1039" s="115">
        <f t="shared" si="83"/>
        <v>86030</v>
      </c>
      <c r="AQ1039" s="111"/>
    </row>
    <row r="1040" spans="1:43" ht="47.65" hidden="1" customHeight="1" x14ac:dyDescent="0.25">
      <c r="A1040" s="1643"/>
      <c r="B1040" s="1644"/>
      <c r="C1040" s="1644"/>
      <c r="D1040" s="1644"/>
      <c r="E1040" s="1644"/>
      <c r="F1040" s="1644"/>
      <c r="G1040" s="1644"/>
      <c r="H1040" s="1645"/>
      <c r="I1040" s="114" t="s">
        <v>1091</v>
      </c>
      <c r="J1040" s="1012">
        <f t="shared" ref="J1040:L1040" si="84">J986</f>
        <v>24917.7</v>
      </c>
      <c r="K1040" s="1012" t="str">
        <f t="shared" si="84"/>
        <v>м</v>
      </c>
      <c r="L1040" s="1012">
        <f t="shared" si="84"/>
        <v>7267.56</v>
      </c>
      <c r="M1040" s="69"/>
      <c r="N1040" s="111"/>
      <c r="O1040" s="83" t="s">
        <v>1091</v>
      </c>
      <c r="P1040" s="1012">
        <f t="shared" ref="P1040:R1040" si="85">P986</f>
        <v>10400</v>
      </c>
      <c r="Q1040" s="1012" t="str">
        <f t="shared" si="85"/>
        <v>м</v>
      </c>
      <c r="R1040" s="541">
        <f t="shared" si="85"/>
        <v>1951.6</v>
      </c>
      <c r="S1040" s="963"/>
      <c r="T1040" s="963"/>
      <c r="U1040" s="116" t="s">
        <v>1091</v>
      </c>
      <c r="V1040" s="1012">
        <f t="shared" ref="V1040:X1040" si="86">V986</f>
        <v>10400</v>
      </c>
      <c r="W1040" s="1012" t="str">
        <f t="shared" si="86"/>
        <v>м</v>
      </c>
      <c r="X1040" s="115">
        <f t="shared" si="86"/>
        <v>2025.3</v>
      </c>
      <c r="Y1040" s="963"/>
      <c r="Z1040" s="963"/>
      <c r="AA1040" s="116" t="s">
        <v>1091</v>
      </c>
      <c r="AB1040" s="1012">
        <f t="shared" ref="AB1040:AD1040" si="87">AB986</f>
        <v>10400</v>
      </c>
      <c r="AC1040" s="1012" t="str">
        <f t="shared" si="87"/>
        <v>м</v>
      </c>
      <c r="AD1040" s="115">
        <f t="shared" si="87"/>
        <v>2025.3</v>
      </c>
      <c r="AE1040" s="963"/>
      <c r="AF1040" s="963"/>
      <c r="AG1040" s="116" t="s">
        <v>1091</v>
      </c>
      <c r="AH1040" s="1012">
        <f t="shared" ref="AH1040:AJ1040" si="88">AH986</f>
        <v>10400</v>
      </c>
      <c r="AI1040" s="1012" t="str">
        <f t="shared" si="88"/>
        <v>м</v>
      </c>
      <c r="AJ1040" s="115">
        <f t="shared" si="88"/>
        <v>2025.3</v>
      </c>
      <c r="AK1040" s="963"/>
      <c r="AL1040" s="963"/>
      <c r="AM1040" s="116" t="s">
        <v>1091</v>
      </c>
      <c r="AN1040" s="1012">
        <f t="shared" ref="AN1040:AP1040" si="89">AN986</f>
        <v>10400</v>
      </c>
      <c r="AO1040" s="1012" t="str">
        <f t="shared" si="89"/>
        <v>м</v>
      </c>
      <c r="AP1040" s="115">
        <f t="shared" si="89"/>
        <v>2025.3</v>
      </c>
      <c r="AQ1040" s="111"/>
    </row>
    <row r="1041" spans="1:43" ht="21.2" customHeight="1" x14ac:dyDescent="0.25">
      <c r="A1041" s="1670" t="s">
        <v>1138</v>
      </c>
      <c r="B1041" s="1671"/>
      <c r="C1041" s="1671"/>
      <c r="D1041" s="1671"/>
      <c r="E1041" s="1671"/>
      <c r="F1041" s="1671"/>
      <c r="G1041" s="1671"/>
      <c r="H1041" s="1671"/>
      <c r="I1041" s="1671"/>
      <c r="J1041" s="1671"/>
      <c r="K1041" s="1671"/>
      <c r="L1041" s="1671"/>
      <c r="M1041" s="1671"/>
      <c r="N1041" s="1671"/>
      <c r="O1041" s="1671"/>
      <c r="P1041" s="1671"/>
      <c r="Q1041" s="1671"/>
      <c r="R1041" s="1671"/>
      <c r="S1041" s="1671"/>
      <c r="T1041" s="1671"/>
      <c r="U1041" s="1671"/>
      <c r="V1041" s="1671"/>
      <c r="W1041" s="1671"/>
      <c r="X1041" s="1671"/>
      <c r="Y1041" s="1671"/>
      <c r="Z1041" s="1671"/>
      <c r="AA1041" s="1671"/>
      <c r="AB1041" s="1671"/>
      <c r="AC1041" s="1671"/>
      <c r="AD1041" s="1671"/>
      <c r="AE1041" s="1671"/>
      <c r="AF1041" s="1671"/>
      <c r="AG1041" s="1671"/>
      <c r="AH1041" s="1671"/>
      <c r="AI1041" s="1671"/>
      <c r="AJ1041" s="1671"/>
      <c r="AK1041" s="1671"/>
      <c r="AL1041" s="1671"/>
      <c r="AM1041" s="1671"/>
      <c r="AN1041" s="1671"/>
      <c r="AO1041" s="1671"/>
      <c r="AP1041" s="1671"/>
      <c r="AQ1041" s="1672"/>
    </row>
    <row r="1042" spans="1:43" ht="16.7" customHeight="1" x14ac:dyDescent="0.25">
      <c r="A1042" s="1625" t="s">
        <v>12</v>
      </c>
      <c r="B1042" s="1626"/>
      <c r="C1042" s="1626"/>
      <c r="D1042" s="1626"/>
      <c r="E1042" s="1626"/>
      <c r="F1042" s="1626"/>
      <c r="G1042" s="1626"/>
      <c r="H1042" s="1626"/>
      <c r="I1042" s="1626"/>
      <c r="J1042" s="1626"/>
      <c r="K1042" s="1626"/>
      <c r="L1042" s="1626"/>
      <c r="M1042" s="1626"/>
      <c r="N1042" s="1626"/>
      <c r="O1042" s="1626"/>
      <c r="P1042" s="1626"/>
      <c r="Q1042" s="1626"/>
      <c r="R1042" s="1626"/>
      <c r="S1042" s="1626"/>
      <c r="T1042" s="1626"/>
      <c r="U1042" s="1626"/>
      <c r="V1042" s="1626"/>
      <c r="W1042" s="1626"/>
      <c r="X1042" s="1626"/>
      <c r="Y1042" s="1626"/>
      <c r="Z1042" s="1626"/>
      <c r="AA1042" s="1626"/>
      <c r="AB1042" s="1626"/>
      <c r="AC1042" s="1626"/>
      <c r="AD1042" s="1626"/>
      <c r="AE1042" s="1626"/>
      <c r="AF1042" s="1626"/>
      <c r="AG1042" s="1626"/>
      <c r="AH1042" s="1626"/>
      <c r="AI1042" s="1626"/>
      <c r="AJ1042" s="1626"/>
      <c r="AK1042" s="1626"/>
      <c r="AL1042" s="1626"/>
      <c r="AM1042" s="1626"/>
      <c r="AN1042" s="1626"/>
      <c r="AO1042" s="1626"/>
      <c r="AP1042" s="1626"/>
      <c r="AQ1042" s="3"/>
    </row>
    <row r="1043" spans="1:43" ht="25.7" customHeight="1" x14ac:dyDescent="0.25">
      <c r="A1043" s="307"/>
      <c r="B1043" s="1597" t="s">
        <v>1183</v>
      </c>
      <c r="C1043" s="1598"/>
      <c r="D1043" s="1598"/>
      <c r="E1043" s="1598"/>
      <c r="F1043" s="1599"/>
      <c r="G1043" s="308"/>
      <c r="H1043" s="308"/>
      <c r="I1043" s="309"/>
      <c r="J1043" s="310"/>
      <c r="K1043" s="308"/>
      <c r="L1043" s="310"/>
      <c r="M1043" s="308"/>
      <c r="N1043" s="308"/>
      <c r="O1043" s="309"/>
      <c r="P1043" s="311"/>
      <c r="Q1043" s="308"/>
      <c r="R1043" s="533"/>
      <c r="S1043" s="308"/>
      <c r="T1043" s="308"/>
      <c r="U1043" s="308"/>
      <c r="V1043" s="310"/>
      <c r="W1043" s="308"/>
      <c r="X1043" s="310"/>
      <c r="Y1043" s="308"/>
      <c r="Z1043" s="308"/>
      <c r="AA1043" s="308"/>
      <c r="AB1043" s="312"/>
      <c r="AC1043" s="312"/>
      <c r="AD1043" s="313"/>
      <c r="AE1043" s="308"/>
      <c r="AF1043" s="308"/>
      <c r="AG1043" s="308"/>
      <c r="AH1043" s="312"/>
      <c r="AI1043" s="312"/>
      <c r="AJ1043" s="313"/>
      <c r="AK1043" s="308"/>
      <c r="AL1043" s="308"/>
      <c r="AM1043" s="308"/>
      <c r="AN1043" s="312"/>
      <c r="AO1043" s="312"/>
      <c r="AP1043" s="313"/>
      <c r="AQ1043" s="308"/>
    </row>
    <row r="1044" spans="1:43" ht="19.350000000000001" customHeight="1" x14ac:dyDescent="0.25">
      <c r="A1044" s="1627">
        <v>1</v>
      </c>
      <c r="B1044" s="1320"/>
      <c r="C1044" s="1186"/>
      <c r="D1044" s="1316"/>
      <c r="E1044" s="1609"/>
      <c r="F1044" s="1624"/>
      <c r="G1044" s="333"/>
      <c r="H1044" s="333"/>
      <c r="I1044" s="134"/>
      <c r="J1044" s="355"/>
      <c r="K1044" s="333"/>
      <c r="L1044" s="355"/>
      <c r="M1044" s="1320"/>
      <c r="N1044" s="1320"/>
      <c r="O1044" s="1157"/>
      <c r="P1044" s="85"/>
      <c r="Q1044" s="318"/>
      <c r="R1044" s="1673"/>
      <c r="S1044" s="399"/>
      <c r="T1044" s="333"/>
      <c r="U1044" s="333"/>
      <c r="V1044" s="355"/>
      <c r="W1044" s="333"/>
      <c r="X1044" s="355"/>
      <c r="Y1044" s="333"/>
      <c r="Z1044" s="333"/>
      <c r="AA1044" s="333"/>
      <c r="AB1044" s="400"/>
      <c r="AC1044" s="400"/>
      <c r="AD1044" s="401"/>
      <c r="AE1044" s="333"/>
      <c r="AF1044" s="333"/>
      <c r="AG1044" s="333"/>
      <c r="AH1044" s="400"/>
      <c r="AI1044" s="400"/>
      <c r="AJ1044" s="401"/>
      <c r="AK1044" s="333"/>
      <c r="AL1044" s="333"/>
      <c r="AM1044" s="333"/>
      <c r="AN1044" s="400"/>
      <c r="AO1044" s="400"/>
      <c r="AP1044" s="401"/>
      <c r="AQ1044" s="333"/>
    </row>
    <row r="1045" spans="1:43" ht="19.350000000000001" customHeight="1" x14ac:dyDescent="0.25">
      <c r="A1045" s="1628"/>
      <c r="B1045" s="1320"/>
      <c r="C1045" s="1186"/>
      <c r="D1045" s="1316"/>
      <c r="E1045" s="1609"/>
      <c r="F1045" s="1624"/>
      <c r="G1045" s="333"/>
      <c r="H1045" s="333"/>
      <c r="I1045" s="134"/>
      <c r="J1045" s="355"/>
      <c r="K1045" s="333"/>
      <c r="L1045" s="355"/>
      <c r="M1045" s="1320"/>
      <c r="N1045" s="1320"/>
      <c r="O1045" s="1157"/>
      <c r="P1045" s="1061"/>
      <c r="Q1045" s="318"/>
      <c r="R1045" s="1673"/>
      <c r="S1045" s="399"/>
      <c r="T1045" s="333"/>
      <c r="U1045" s="333"/>
      <c r="V1045" s="355"/>
      <c r="W1045" s="333"/>
      <c r="X1045" s="355"/>
      <c r="Y1045" s="333"/>
      <c r="Z1045" s="333"/>
      <c r="AA1045" s="333"/>
      <c r="AB1045" s="400"/>
      <c r="AC1045" s="400"/>
      <c r="AD1045" s="401"/>
      <c r="AE1045" s="333"/>
      <c r="AF1045" s="333"/>
      <c r="AG1045" s="333"/>
      <c r="AH1045" s="400"/>
      <c r="AI1045" s="400"/>
      <c r="AJ1045" s="401"/>
      <c r="AK1045" s="333"/>
      <c r="AL1045" s="333"/>
      <c r="AM1045" s="333"/>
      <c r="AN1045" s="400"/>
      <c r="AO1045" s="400"/>
      <c r="AP1045" s="401"/>
      <c r="AQ1045" s="333"/>
    </row>
    <row r="1046" spans="1:43" ht="25.7" customHeight="1" x14ac:dyDescent="0.25">
      <c r="A1046" s="354"/>
      <c r="B1046" s="1674" t="s">
        <v>1185</v>
      </c>
      <c r="C1046" s="1675"/>
      <c r="D1046" s="1675"/>
      <c r="E1046" s="1675"/>
      <c r="F1046" s="1676"/>
      <c r="G1046" s="180"/>
      <c r="H1046" s="180"/>
      <c r="I1046" s="208"/>
      <c r="J1046" s="402"/>
      <c r="K1046" s="180"/>
      <c r="L1046" s="402"/>
      <c r="M1046" s="180"/>
      <c r="N1046" s="180"/>
      <c r="O1046" s="208"/>
      <c r="P1046" s="403"/>
      <c r="Q1046" s="404"/>
      <c r="R1046" s="560"/>
      <c r="S1046" s="333"/>
      <c r="T1046" s="333"/>
      <c r="U1046" s="333"/>
      <c r="V1046" s="332"/>
      <c r="W1046" s="333"/>
      <c r="X1046" s="3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</row>
    <row r="1047" spans="1:43" s="23" customFormat="1" ht="25.7" customHeight="1" x14ac:dyDescent="0.25">
      <c r="A1047" s="47">
        <v>1</v>
      </c>
      <c r="B1047" s="405"/>
      <c r="C1047" s="405"/>
      <c r="D1047" s="405"/>
      <c r="E1047" s="405"/>
      <c r="F1047" s="405"/>
      <c r="G1047" s="333"/>
      <c r="H1047" s="333"/>
      <c r="I1047" s="134"/>
      <c r="J1047" s="355"/>
      <c r="K1047" s="333"/>
      <c r="L1047" s="355"/>
      <c r="M1047" s="333"/>
      <c r="N1047" s="333"/>
      <c r="O1047" s="134"/>
      <c r="P1047" s="356"/>
      <c r="Q1047" s="357"/>
      <c r="R1047" s="543"/>
      <c r="S1047" s="333"/>
      <c r="T1047" s="333"/>
      <c r="U1047" s="333"/>
      <c r="V1047" s="332"/>
      <c r="W1047" s="333"/>
      <c r="X1047" s="332"/>
      <c r="Y1047" s="333"/>
      <c r="Z1047" s="333"/>
      <c r="AA1047" s="333"/>
      <c r="AB1047" s="333"/>
      <c r="AC1047" s="333"/>
      <c r="AD1047" s="333"/>
      <c r="AE1047" s="333"/>
      <c r="AF1047" s="333"/>
      <c r="AG1047" s="333"/>
      <c r="AH1047" s="333"/>
      <c r="AI1047" s="333"/>
      <c r="AJ1047" s="333"/>
      <c r="AK1047" s="333"/>
      <c r="AL1047" s="333"/>
      <c r="AM1047" s="333"/>
      <c r="AN1047" s="333"/>
      <c r="AO1047" s="333"/>
      <c r="AP1047" s="333"/>
      <c r="AQ1047" s="180"/>
    </row>
    <row r="1048" spans="1:43" ht="15" customHeight="1" x14ac:dyDescent="0.25">
      <c r="A1048" s="51">
        <v>2</v>
      </c>
      <c r="B1048" s="406"/>
      <c r="C1048" s="71"/>
      <c r="D1048" s="406"/>
      <c r="E1048" s="406"/>
      <c r="F1048" s="406"/>
      <c r="G1048" s="406"/>
      <c r="H1048" s="406"/>
      <c r="I1048" s="407"/>
      <c r="J1048" s="406"/>
      <c r="K1048" s="406"/>
      <c r="L1048" s="406"/>
      <c r="M1048" s="406"/>
      <c r="N1048" s="406"/>
      <c r="O1048" s="407"/>
      <c r="P1048" s="406"/>
      <c r="Q1048" s="406"/>
      <c r="R1048" s="561"/>
      <c r="S1048" s="406"/>
      <c r="T1048" s="406"/>
      <c r="U1048" s="406"/>
      <c r="V1048" s="406"/>
      <c r="W1048" s="406"/>
      <c r="X1048" s="406"/>
      <c r="Y1048" s="406"/>
      <c r="Z1048" s="406"/>
      <c r="AA1048" s="406"/>
      <c r="AB1048" s="406"/>
      <c r="AC1048" s="406"/>
      <c r="AD1048" s="406"/>
      <c r="AE1048" s="406"/>
      <c r="AF1048" s="406"/>
      <c r="AG1048" s="406"/>
      <c r="AH1048" s="406"/>
      <c r="AI1048" s="406"/>
      <c r="AJ1048" s="406"/>
      <c r="AK1048" s="406"/>
      <c r="AL1048" s="406"/>
      <c r="AM1048" s="406"/>
      <c r="AN1048" s="406"/>
      <c r="AO1048" s="406"/>
      <c r="AP1048" s="406"/>
      <c r="AQ1048" s="79"/>
    </row>
    <row r="1049" spans="1:43" ht="31.5" customHeight="1" x14ac:dyDescent="0.25">
      <c r="A1049" s="1591" t="s">
        <v>35</v>
      </c>
      <c r="B1049" s="1592"/>
      <c r="C1049" s="1592"/>
      <c r="D1049" s="1592"/>
      <c r="E1049" s="37"/>
      <c r="F1049" s="37"/>
      <c r="G1049" s="36"/>
      <c r="H1049" s="36"/>
      <c r="I1049" s="342"/>
      <c r="J1049" s="39"/>
      <c r="K1049" s="38" t="s">
        <v>2</v>
      </c>
      <c r="L1049" s="38"/>
      <c r="M1049" s="36"/>
      <c r="N1049" s="408"/>
      <c r="O1049" s="409"/>
      <c r="P1049" s="39"/>
      <c r="Q1049" s="38"/>
      <c r="R1049" s="5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408"/>
      <c r="AK1049" s="408"/>
      <c r="AL1049" s="408"/>
      <c r="AM1049" s="408"/>
      <c r="AN1049" s="408"/>
      <c r="AO1049" s="408"/>
      <c r="AP1049" s="408"/>
      <c r="AQ1049" s="408"/>
    </row>
    <row r="1050" spans="1:43" ht="14.1" customHeight="1" x14ac:dyDescent="0.25">
      <c r="A1050" s="1619" t="s">
        <v>1141</v>
      </c>
      <c r="B1050" s="1620"/>
      <c r="C1050" s="1620"/>
      <c r="D1050" s="1620"/>
      <c r="E1050" s="1620"/>
      <c r="F1050" s="1620"/>
      <c r="G1050" s="1620"/>
      <c r="H1050" s="1620"/>
      <c r="I1050" s="1595" t="s">
        <v>7</v>
      </c>
      <c r="J1050" s="81"/>
      <c r="K1050" s="125" t="s">
        <v>2</v>
      </c>
      <c r="L1050" s="1616"/>
      <c r="M1050" s="78"/>
      <c r="N1050" s="410"/>
      <c r="O1050" s="1595" t="s">
        <v>7</v>
      </c>
      <c r="P1050" s="81"/>
      <c r="Q1050" s="125" t="s">
        <v>2</v>
      </c>
      <c r="R1050" s="1646"/>
      <c r="S1050" s="78"/>
      <c r="T1050" s="410"/>
      <c r="U1050" s="1595" t="s">
        <v>7</v>
      </c>
      <c r="V1050" s="81"/>
      <c r="W1050" s="125" t="s">
        <v>2</v>
      </c>
      <c r="X1050" s="1616"/>
      <c r="Y1050" s="78"/>
      <c r="Z1050" s="410"/>
      <c r="AA1050" s="1595" t="s">
        <v>7</v>
      </c>
      <c r="AB1050" s="81"/>
      <c r="AC1050" s="125" t="s">
        <v>2</v>
      </c>
      <c r="AD1050" s="1616"/>
      <c r="AE1050" s="78"/>
      <c r="AF1050" s="410"/>
      <c r="AG1050" s="1595" t="s">
        <v>7</v>
      </c>
      <c r="AH1050" s="81"/>
      <c r="AI1050" s="125" t="s">
        <v>2</v>
      </c>
      <c r="AJ1050" s="1616"/>
      <c r="AK1050" s="78"/>
      <c r="AL1050" s="410"/>
      <c r="AM1050" s="1595" t="s">
        <v>7</v>
      </c>
      <c r="AN1050" s="81"/>
      <c r="AO1050" s="125" t="s">
        <v>2</v>
      </c>
      <c r="AP1050" s="1616"/>
      <c r="AQ1050" s="411"/>
    </row>
    <row r="1051" spans="1:43" ht="19.350000000000001" customHeight="1" x14ac:dyDescent="0.25">
      <c r="A1051" s="1621"/>
      <c r="B1051" s="1622"/>
      <c r="C1051" s="1622"/>
      <c r="D1051" s="1622"/>
      <c r="E1051" s="1622"/>
      <c r="F1051" s="1622"/>
      <c r="G1051" s="1622"/>
      <c r="H1051" s="1622"/>
      <c r="I1051" s="1596"/>
      <c r="J1051" s="81"/>
      <c r="K1051" s="125" t="s">
        <v>4</v>
      </c>
      <c r="L1051" s="1617"/>
      <c r="M1051" s="78"/>
      <c r="N1051" s="410"/>
      <c r="O1051" s="1596"/>
      <c r="P1051" s="81"/>
      <c r="Q1051" s="125" t="s">
        <v>4</v>
      </c>
      <c r="R1051" s="1647"/>
      <c r="S1051" s="78"/>
      <c r="T1051" s="410"/>
      <c r="U1051" s="1596"/>
      <c r="V1051" s="81"/>
      <c r="W1051" s="125" t="s">
        <v>4</v>
      </c>
      <c r="X1051" s="1617"/>
      <c r="Y1051" s="78"/>
      <c r="Z1051" s="410"/>
      <c r="AA1051" s="1596"/>
      <c r="AB1051" s="81"/>
      <c r="AC1051" s="125" t="s">
        <v>4</v>
      </c>
      <c r="AD1051" s="1617"/>
      <c r="AE1051" s="78"/>
      <c r="AF1051" s="410"/>
      <c r="AG1051" s="1596"/>
      <c r="AH1051" s="81"/>
      <c r="AI1051" s="125" t="s">
        <v>4</v>
      </c>
      <c r="AJ1051" s="1617"/>
      <c r="AK1051" s="78"/>
      <c r="AL1051" s="410"/>
      <c r="AM1051" s="1596"/>
      <c r="AN1051" s="81"/>
      <c r="AO1051" s="125" t="s">
        <v>4</v>
      </c>
      <c r="AP1051" s="1617"/>
      <c r="AQ1051" s="411"/>
    </row>
    <row r="1052" spans="1:43" ht="14.1" customHeight="1" x14ac:dyDescent="0.25">
      <c r="A1052" s="1621"/>
      <c r="B1052" s="1622"/>
      <c r="C1052" s="1622"/>
      <c r="D1052" s="1622"/>
      <c r="E1052" s="1622"/>
      <c r="F1052" s="1622"/>
      <c r="G1052" s="1622"/>
      <c r="H1052" s="1622"/>
      <c r="I1052" s="1595" t="s">
        <v>29</v>
      </c>
      <c r="J1052" s="81"/>
      <c r="K1052" s="125" t="s">
        <v>2</v>
      </c>
      <c r="L1052" s="1616"/>
      <c r="M1052" s="78"/>
      <c r="N1052" s="410"/>
      <c r="O1052" s="1595" t="s">
        <v>29</v>
      </c>
      <c r="P1052" s="81"/>
      <c r="Q1052" s="125" t="s">
        <v>2</v>
      </c>
      <c r="R1052" s="1646"/>
      <c r="S1052" s="78"/>
      <c r="T1052" s="410"/>
      <c r="U1052" s="1595" t="s">
        <v>29</v>
      </c>
      <c r="V1052" s="81"/>
      <c r="W1052" s="125" t="s">
        <v>2</v>
      </c>
      <c r="X1052" s="1616"/>
      <c r="Y1052" s="78"/>
      <c r="Z1052" s="410"/>
      <c r="AA1052" s="1595" t="s">
        <v>29</v>
      </c>
      <c r="AB1052" s="81"/>
      <c r="AC1052" s="125" t="s">
        <v>2</v>
      </c>
      <c r="AD1052" s="1616"/>
      <c r="AE1052" s="78"/>
      <c r="AF1052" s="410"/>
      <c r="AG1052" s="1595" t="s">
        <v>29</v>
      </c>
      <c r="AH1052" s="81"/>
      <c r="AI1052" s="125" t="s">
        <v>2</v>
      </c>
      <c r="AJ1052" s="1616"/>
      <c r="AK1052" s="78"/>
      <c r="AL1052" s="410"/>
      <c r="AM1052" s="1595" t="s">
        <v>29</v>
      </c>
      <c r="AN1052" s="81"/>
      <c r="AO1052" s="125" t="s">
        <v>2</v>
      </c>
      <c r="AP1052" s="1616"/>
      <c r="AQ1052" s="411"/>
    </row>
    <row r="1053" spans="1:43" ht="14.1" customHeight="1" x14ac:dyDescent="0.25">
      <c r="A1053" s="1621"/>
      <c r="B1053" s="1622"/>
      <c r="C1053" s="1622"/>
      <c r="D1053" s="1622"/>
      <c r="E1053" s="1622"/>
      <c r="F1053" s="1622"/>
      <c r="G1053" s="1622"/>
      <c r="H1053" s="1622"/>
      <c r="I1053" s="1596"/>
      <c r="J1053" s="81"/>
      <c r="K1053" s="125" t="s">
        <v>4</v>
      </c>
      <c r="L1053" s="1617"/>
      <c r="M1053" s="78"/>
      <c r="N1053" s="410"/>
      <c r="O1053" s="1596"/>
      <c r="P1053" s="81"/>
      <c r="Q1053" s="125" t="s">
        <v>4</v>
      </c>
      <c r="R1053" s="1647"/>
      <c r="S1053" s="78"/>
      <c r="T1053" s="410"/>
      <c r="U1053" s="1596"/>
      <c r="V1053" s="81"/>
      <c r="W1053" s="125" t="s">
        <v>4</v>
      </c>
      <c r="X1053" s="1617"/>
      <c r="Y1053" s="78"/>
      <c r="Z1053" s="410"/>
      <c r="AA1053" s="1596"/>
      <c r="AB1053" s="81"/>
      <c r="AC1053" s="125" t="s">
        <v>4</v>
      </c>
      <c r="AD1053" s="1617"/>
      <c r="AE1053" s="78"/>
      <c r="AF1053" s="410"/>
      <c r="AG1053" s="1596"/>
      <c r="AH1053" s="81"/>
      <c r="AI1053" s="125" t="s">
        <v>4</v>
      </c>
      <c r="AJ1053" s="1617"/>
      <c r="AK1053" s="78"/>
      <c r="AL1053" s="410"/>
      <c r="AM1053" s="1596"/>
      <c r="AN1053" s="81"/>
      <c r="AO1053" s="125" t="s">
        <v>4</v>
      </c>
      <c r="AP1053" s="1617"/>
      <c r="AQ1053" s="411"/>
    </row>
    <row r="1054" spans="1:43" ht="14.1" customHeight="1" x14ac:dyDescent="0.25">
      <c r="A1054" s="1621"/>
      <c r="B1054" s="1622"/>
      <c r="C1054" s="1622"/>
      <c r="D1054" s="1622"/>
      <c r="E1054" s="1622"/>
      <c r="F1054" s="1622"/>
      <c r="G1054" s="1622"/>
      <c r="H1054" s="1622"/>
      <c r="I1054" s="1595" t="s">
        <v>30</v>
      </c>
      <c r="J1054" s="81"/>
      <c r="K1054" s="125" t="s">
        <v>2</v>
      </c>
      <c r="L1054" s="1616"/>
      <c r="M1054" s="78"/>
      <c r="N1054" s="410"/>
      <c r="O1054" s="1595" t="s">
        <v>30</v>
      </c>
      <c r="P1054" s="81"/>
      <c r="Q1054" s="125" t="s">
        <v>2</v>
      </c>
      <c r="R1054" s="1646"/>
      <c r="S1054" s="78"/>
      <c r="T1054" s="410"/>
      <c r="U1054" s="1595" t="s">
        <v>30</v>
      </c>
      <c r="V1054" s="81"/>
      <c r="W1054" s="125" t="s">
        <v>2</v>
      </c>
      <c r="X1054" s="1616"/>
      <c r="Y1054" s="78"/>
      <c r="Z1054" s="410"/>
      <c r="AA1054" s="1595" t="s">
        <v>30</v>
      </c>
      <c r="AB1054" s="81"/>
      <c r="AC1054" s="125" t="s">
        <v>2</v>
      </c>
      <c r="AD1054" s="1616"/>
      <c r="AE1054" s="78"/>
      <c r="AF1054" s="410"/>
      <c r="AG1054" s="1595" t="s">
        <v>30</v>
      </c>
      <c r="AH1054" s="81"/>
      <c r="AI1054" s="125" t="s">
        <v>2</v>
      </c>
      <c r="AJ1054" s="1616"/>
      <c r="AK1054" s="78"/>
      <c r="AL1054" s="410"/>
      <c r="AM1054" s="1595" t="s">
        <v>30</v>
      </c>
      <c r="AN1054" s="81"/>
      <c r="AO1054" s="125" t="s">
        <v>2</v>
      </c>
      <c r="AP1054" s="1616"/>
      <c r="AQ1054" s="411"/>
    </row>
    <row r="1055" spans="1:43" ht="14.1" customHeight="1" x14ac:dyDescent="0.25">
      <c r="A1055" s="1621"/>
      <c r="B1055" s="1622"/>
      <c r="C1055" s="1622"/>
      <c r="D1055" s="1622"/>
      <c r="E1055" s="1622"/>
      <c r="F1055" s="1622"/>
      <c r="G1055" s="1622"/>
      <c r="H1055" s="1622"/>
      <c r="I1055" s="1596"/>
      <c r="J1055" s="81"/>
      <c r="K1055" s="125" t="s">
        <v>4</v>
      </c>
      <c r="L1055" s="1617"/>
      <c r="M1055" s="78"/>
      <c r="N1055" s="410"/>
      <c r="O1055" s="1596"/>
      <c r="P1055" s="81"/>
      <c r="Q1055" s="125" t="s">
        <v>4</v>
      </c>
      <c r="R1055" s="1647"/>
      <c r="S1055" s="78"/>
      <c r="T1055" s="410"/>
      <c r="U1055" s="1596"/>
      <c r="V1055" s="81"/>
      <c r="W1055" s="125" t="s">
        <v>4</v>
      </c>
      <c r="X1055" s="1617"/>
      <c r="Y1055" s="78"/>
      <c r="Z1055" s="410"/>
      <c r="AA1055" s="1596"/>
      <c r="AB1055" s="81"/>
      <c r="AC1055" s="125" t="s">
        <v>4</v>
      </c>
      <c r="AD1055" s="1617"/>
      <c r="AE1055" s="78"/>
      <c r="AF1055" s="410"/>
      <c r="AG1055" s="1596"/>
      <c r="AH1055" s="81"/>
      <c r="AI1055" s="125" t="s">
        <v>4</v>
      </c>
      <c r="AJ1055" s="1617"/>
      <c r="AK1055" s="78"/>
      <c r="AL1055" s="410"/>
      <c r="AM1055" s="1596"/>
      <c r="AN1055" s="81"/>
      <c r="AO1055" s="125" t="s">
        <v>4</v>
      </c>
      <c r="AP1055" s="1617"/>
      <c r="AQ1055" s="411"/>
    </row>
    <row r="1056" spans="1:43" ht="14.1" customHeight="1" x14ac:dyDescent="0.25">
      <c r="A1056" s="1621"/>
      <c r="B1056" s="1622"/>
      <c r="C1056" s="1622"/>
      <c r="D1056" s="1622"/>
      <c r="E1056" s="1622"/>
      <c r="F1056" s="1622"/>
      <c r="G1056" s="1622"/>
      <c r="H1056" s="1622"/>
      <c r="I1056" s="1595" t="s">
        <v>31</v>
      </c>
      <c r="J1056" s="81"/>
      <c r="K1056" s="125" t="s">
        <v>2</v>
      </c>
      <c r="L1056" s="1616"/>
      <c r="M1056" s="78"/>
      <c r="N1056" s="410"/>
      <c r="O1056" s="1595" t="s">
        <v>31</v>
      </c>
      <c r="P1056" s="81"/>
      <c r="Q1056" s="125" t="s">
        <v>2</v>
      </c>
      <c r="R1056" s="1646"/>
      <c r="S1056" s="78"/>
      <c r="T1056" s="410"/>
      <c r="U1056" s="1595" t="s">
        <v>31</v>
      </c>
      <c r="V1056" s="81"/>
      <c r="W1056" s="125" t="s">
        <v>2</v>
      </c>
      <c r="X1056" s="1616"/>
      <c r="Y1056" s="78"/>
      <c r="Z1056" s="410"/>
      <c r="AA1056" s="1595" t="s">
        <v>31</v>
      </c>
      <c r="AB1056" s="81"/>
      <c r="AC1056" s="125" t="s">
        <v>2</v>
      </c>
      <c r="AD1056" s="1616"/>
      <c r="AE1056" s="78"/>
      <c r="AF1056" s="410"/>
      <c r="AG1056" s="1595" t="s">
        <v>31</v>
      </c>
      <c r="AH1056" s="81"/>
      <c r="AI1056" s="125" t="s">
        <v>2</v>
      </c>
      <c r="AJ1056" s="1616"/>
      <c r="AK1056" s="78"/>
      <c r="AL1056" s="410"/>
      <c r="AM1056" s="1595" t="s">
        <v>31</v>
      </c>
      <c r="AN1056" s="81"/>
      <c r="AO1056" s="125" t="s">
        <v>2</v>
      </c>
      <c r="AP1056" s="1616"/>
      <c r="AQ1056" s="411"/>
    </row>
    <row r="1057" spans="1:43" ht="14.1" customHeight="1" x14ac:dyDescent="0.25">
      <c r="A1057" s="1621"/>
      <c r="B1057" s="1622"/>
      <c r="C1057" s="1622"/>
      <c r="D1057" s="1622"/>
      <c r="E1057" s="1622"/>
      <c r="F1057" s="1622"/>
      <c r="G1057" s="1622"/>
      <c r="H1057" s="1622"/>
      <c r="I1057" s="1596"/>
      <c r="J1057" s="81"/>
      <c r="K1057" s="125" t="s">
        <v>4</v>
      </c>
      <c r="L1057" s="1617"/>
      <c r="M1057" s="78"/>
      <c r="N1057" s="410"/>
      <c r="O1057" s="1596"/>
      <c r="P1057" s="81"/>
      <c r="Q1057" s="125" t="s">
        <v>4</v>
      </c>
      <c r="R1057" s="1647"/>
      <c r="S1057" s="78"/>
      <c r="T1057" s="410"/>
      <c r="U1057" s="1596"/>
      <c r="V1057" s="81"/>
      <c r="W1057" s="125" t="s">
        <v>4</v>
      </c>
      <c r="X1057" s="1617"/>
      <c r="Y1057" s="78"/>
      <c r="Z1057" s="410"/>
      <c r="AA1057" s="1596"/>
      <c r="AB1057" s="81"/>
      <c r="AC1057" s="125" t="s">
        <v>4</v>
      </c>
      <c r="AD1057" s="1617"/>
      <c r="AE1057" s="78"/>
      <c r="AF1057" s="410"/>
      <c r="AG1057" s="1596"/>
      <c r="AH1057" s="81"/>
      <c r="AI1057" s="125" t="s">
        <v>4</v>
      </c>
      <c r="AJ1057" s="1617"/>
      <c r="AK1057" s="78"/>
      <c r="AL1057" s="410"/>
      <c r="AM1057" s="1596"/>
      <c r="AN1057" s="81"/>
      <c r="AO1057" s="125" t="s">
        <v>4</v>
      </c>
      <c r="AP1057" s="1617"/>
      <c r="AQ1057" s="411"/>
    </row>
    <row r="1058" spans="1:43" ht="14.1" customHeight="1" x14ac:dyDescent="0.25">
      <c r="A1058" s="1621"/>
      <c r="B1058" s="1622"/>
      <c r="C1058" s="1622"/>
      <c r="D1058" s="1622"/>
      <c r="E1058" s="1622"/>
      <c r="F1058" s="1622"/>
      <c r="G1058" s="1622"/>
      <c r="H1058" s="1622"/>
      <c r="I1058" s="1595" t="s">
        <v>1126</v>
      </c>
      <c r="J1058" s="81"/>
      <c r="K1058" s="125" t="s">
        <v>1132</v>
      </c>
      <c r="L1058" s="1616"/>
      <c r="M1058" s="78"/>
      <c r="N1058" s="410"/>
      <c r="O1058" s="1595" t="s">
        <v>1126</v>
      </c>
      <c r="P1058" s="81"/>
      <c r="Q1058" s="125" t="s">
        <v>1132</v>
      </c>
      <c r="R1058" s="1646"/>
      <c r="S1058" s="78"/>
      <c r="T1058" s="410"/>
      <c r="U1058" s="1595" t="s">
        <v>1126</v>
      </c>
      <c r="V1058" s="81"/>
      <c r="W1058" s="125" t="s">
        <v>1132</v>
      </c>
      <c r="X1058" s="1616"/>
      <c r="Y1058" s="78"/>
      <c r="Z1058" s="410"/>
      <c r="AA1058" s="1595" t="s">
        <v>1126</v>
      </c>
      <c r="AB1058" s="81"/>
      <c r="AC1058" s="125" t="s">
        <v>1132</v>
      </c>
      <c r="AD1058" s="1616"/>
      <c r="AE1058" s="78"/>
      <c r="AF1058" s="410"/>
      <c r="AG1058" s="1595" t="s">
        <v>1126</v>
      </c>
      <c r="AH1058" s="81"/>
      <c r="AI1058" s="125" t="s">
        <v>1132</v>
      </c>
      <c r="AJ1058" s="1616"/>
      <c r="AK1058" s="78"/>
      <c r="AL1058" s="410"/>
      <c r="AM1058" s="1595" t="s">
        <v>1126</v>
      </c>
      <c r="AN1058" s="81"/>
      <c r="AO1058" s="125" t="s">
        <v>1132</v>
      </c>
      <c r="AP1058" s="1616"/>
      <c r="AQ1058" s="411"/>
    </row>
    <row r="1059" spans="1:43" ht="14.1" customHeight="1" x14ac:dyDescent="0.25">
      <c r="A1059" s="1621"/>
      <c r="B1059" s="1622"/>
      <c r="C1059" s="1622"/>
      <c r="D1059" s="1622"/>
      <c r="E1059" s="1622"/>
      <c r="F1059" s="1622"/>
      <c r="G1059" s="1622"/>
      <c r="H1059" s="1622"/>
      <c r="I1059" s="1612"/>
      <c r="J1059" s="81"/>
      <c r="K1059" s="125" t="s">
        <v>2</v>
      </c>
      <c r="L1059" s="1617"/>
      <c r="M1059" s="78"/>
      <c r="N1059" s="410"/>
      <c r="O1059" s="1612"/>
      <c r="P1059" s="81"/>
      <c r="Q1059" s="125" t="s">
        <v>2</v>
      </c>
      <c r="R1059" s="1647"/>
      <c r="S1059" s="78"/>
      <c r="T1059" s="410"/>
      <c r="U1059" s="1612"/>
      <c r="V1059" s="81"/>
      <c r="W1059" s="125" t="s">
        <v>2</v>
      </c>
      <c r="X1059" s="1617"/>
      <c r="Y1059" s="78"/>
      <c r="Z1059" s="410"/>
      <c r="AA1059" s="1612"/>
      <c r="AB1059" s="81"/>
      <c r="AC1059" s="125" t="s">
        <v>2</v>
      </c>
      <c r="AD1059" s="1617"/>
      <c r="AE1059" s="78"/>
      <c r="AF1059" s="410"/>
      <c r="AG1059" s="1612"/>
      <c r="AH1059" s="81"/>
      <c r="AI1059" s="125" t="s">
        <v>2</v>
      </c>
      <c r="AJ1059" s="1617"/>
      <c r="AK1059" s="78"/>
      <c r="AL1059" s="410"/>
      <c r="AM1059" s="1612"/>
      <c r="AN1059" s="81"/>
      <c r="AO1059" s="125" t="s">
        <v>2</v>
      </c>
      <c r="AP1059" s="1617"/>
      <c r="AQ1059" s="411"/>
    </row>
    <row r="1060" spans="1:43" ht="14.1" customHeight="1" x14ac:dyDescent="0.25">
      <c r="A1060" s="1621"/>
      <c r="B1060" s="1622"/>
      <c r="C1060" s="1622"/>
      <c r="D1060" s="1622"/>
      <c r="E1060" s="1622"/>
      <c r="F1060" s="1622"/>
      <c r="G1060" s="1622"/>
      <c r="H1060" s="1622"/>
      <c r="I1060" s="1596"/>
      <c r="J1060" s="81"/>
      <c r="K1060" s="125" t="s">
        <v>4</v>
      </c>
      <c r="L1060" s="1618"/>
      <c r="M1060" s="78"/>
      <c r="N1060" s="410"/>
      <c r="O1060" s="1596"/>
      <c r="P1060" s="81"/>
      <c r="Q1060" s="125" t="s">
        <v>4</v>
      </c>
      <c r="R1060" s="1648"/>
      <c r="S1060" s="78"/>
      <c r="T1060" s="410"/>
      <c r="U1060" s="1596"/>
      <c r="V1060" s="81"/>
      <c r="W1060" s="125" t="s">
        <v>4</v>
      </c>
      <c r="X1060" s="1618"/>
      <c r="Y1060" s="78"/>
      <c r="Z1060" s="410"/>
      <c r="AA1060" s="1596"/>
      <c r="AB1060" s="81"/>
      <c r="AC1060" s="125" t="s">
        <v>4</v>
      </c>
      <c r="AD1060" s="1618"/>
      <c r="AE1060" s="78"/>
      <c r="AF1060" s="410"/>
      <c r="AG1060" s="1596"/>
      <c r="AH1060" s="81"/>
      <c r="AI1060" s="125" t="s">
        <v>4</v>
      </c>
      <c r="AJ1060" s="1618"/>
      <c r="AK1060" s="78"/>
      <c r="AL1060" s="410"/>
      <c r="AM1060" s="1596"/>
      <c r="AN1060" s="81"/>
      <c r="AO1060" s="125" t="s">
        <v>4</v>
      </c>
      <c r="AP1060" s="1618"/>
      <c r="AQ1060" s="411"/>
    </row>
    <row r="1061" spans="1:43" ht="14.1" customHeight="1" x14ac:dyDescent="0.25">
      <c r="A1061" s="1621"/>
      <c r="B1061" s="1622"/>
      <c r="C1061" s="1622"/>
      <c r="D1061" s="1622"/>
      <c r="E1061" s="1622"/>
      <c r="F1061" s="1622"/>
      <c r="G1061" s="1622"/>
      <c r="H1061" s="1622"/>
      <c r="I1061" s="1595" t="s">
        <v>1125</v>
      </c>
      <c r="J1061" s="81"/>
      <c r="K1061" s="125" t="s">
        <v>1132</v>
      </c>
      <c r="L1061" s="1616"/>
      <c r="M1061" s="78"/>
      <c r="N1061" s="410"/>
      <c r="O1061" s="1595" t="s">
        <v>1125</v>
      </c>
      <c r="P1061" s="81"/>
      <c r="Q1061" s="125" t="s">
        <v>1132</v>
      </c>
      <c r="R1061" s="1646"/>
      <c r="S1061" s="78"/>
      <c r="T1061" s="410"/>
      <c r="U1061" s="1595" t="s">
        <v>1125</v>
      </c>
      <c r="V1061" s="81"/>
      <c r="W1061" s="125" t="s">
        <v>1132</v>
      </c>
      <c r="X1061" s="1616"/>
      <c r="Y1061" s="78"/>
      <c r="Z1061" s="410"/>
      <c r="AA1061" s="1595" t="s">
        <v>1125</v>
      </c>
      <c r="AB1061" s="81"/>
      <c r="AC1061" s="125" t="s">
        <v>1132</v>
      </c>
      <c r="AD1061" s="1616"/>
      <c r="AE1061" s="78"/>
      <c r="AF1061" s="410"/>
      <c r="AG1061" s="1595" t="s">
        <v>1125</v>
      </c>
      <c r="AH1061" s="81"/>
      <c r="AI1061" s="125" t="s">
        <v>1132</v>
      </c>
      <c r="AJ1061" s="1616"/>
      <c r="AK1061" s="78"/>
      <c r="AL1061" s="410"/>
      <c r="AM1061" s="1595" t="s">
        <v>1125</v>
      </c>
      <c r="AN1061" s="81"/>
      <c r="AO1061" s="125" t="s">
        <v>1132</v>
      </c>
      <c r="AP1061" s="1616"/>
      <c r="AQ1061" s="411"/>
    </row>
    <row r="1062" spans="1:43" ht="14.1" customHeight="1" x14ac:dyDescent="0.25">
      <c r="A1062" s="1621"/>
      <c r="B1062" s="1622"/>
      <c r="C1062" s="1622"/>
      <c r="D1062" s="1622"/>
      <c r="E1062" s="1622"/>
      <c r="F1062" s="1622"/>
      <c r="G1062" s="1622"/>
      <c r="H1062" s="1622"/>
      <c r="I1062" s="1612"/>
      <c r="J1062" s="81"/>
      <c r="K1062" s="125" t="s">
        <v>2</v>
      </c>
      <c r="L1062" s="1617"/>
      <c r="M1062" s="78"/>
      <c r="N1062" s="410"/>
      <c r="O1062" s="1612"/>
      <c r="P1062" s="81"/>
      <c r="Q1062" s="125" t="s">
        <v>2</v>
      </c>
      <c r="R1062" s="1647"/>
      <c r="S1062" s="78"/>
      <c r="T1062" s="410"/>
      <c r="U1062" s="1612"/>
      <c r="V1062" s="81"/>
      <c r="W1062" s="125" t="s">
        <v>2</v>
      </c>
      <c r="X1062" s="1617"/>
      <c r="Y1062" s="78"/>
      <c r="Z1062" s="410"/>
      <c r="AA1062" s="1612"/>
      <c r="AB1062" s="81"/>
      <c r="AC1062" s="125" t="s">
        <v>2</v>
      </c>
      <c r="AD1062" s="1617"/>
      <c r="AE1062" s="78"/>
      <c r="AF1062" s="410"/>
      <c r="AG1062" s="1612"/>
      <c r="AH1062" s="81"/>
      <c r="AI1062" s="125" t="s">
        <v>2</v>
      </c>
      <c r="AJ1062" s="1617"/>
      <c r="AK1062" s="78"/>
      <c r="AL1062" s="410"/>
      <c r="AM1062" s="1612"/>
      <c r="AN1062" s="81"/>
      <c r="AO1062" s="125" t="s">
        <v>2</v>
      </c>
      <c r="AP1062" s="1617"/>
      <c r="AQ1062" s="411"/>
    </row>
    <row r="1063" spans="1:43" ht="14.1" customHeight="1" x14ac:dyDescent="0.25">
      <c r="A1063" s="1621"/>
      <c r="B1063" s="1622"/>
      <c r="C1063" s="1622"/>
      <c r="D1063" s="1622"/>
      <c r="E1063" s="1622"/>
      <c r="F1063" s="1622"/>
      <c r="G1063" s="1622"/>
      <c r="H1063" s="1622"/>
      <c r="I1063" s="1596"/>
      <c r="J1063" s="81"/>
      <c r="K1063" s="125" t="s">
        <v>4</v>
      </c>
      <c r="L1063" s="1618"/>
      <c r="M1063" s="78"/>
      <c r="N1063" s="410"/>
      <c r="O1063" s="1596"/>
      <c r="P1063" s="81"/>
      <c r="Q1063" s="125" t="s">
        <v>4</v>
      </c>
      <c r="R1063" s="1648"/>
      <c r="S1063" s="78"/>
      <c r="T1063" s="410"/>
      <c r="U1063" s="1596"/>
      <c r="V1063" s="81"/>
      <c r="W1063" s="125" t="s">
        <v>4</v>
      </c>
      <c r="X1063" s="1618"/>
      <c r="Y1063" s="78"/>
      <c r="Z1063" s="410"/>
      <c r="AA1063" s="1596"/>
      <c r="AB1063" s="81"/>
      <c r="AC1063" s="125" t="s">
        <v>4</v>
      </c>
      <c r="AD1063" s="1618"/>
      <c r="AE1063" s="78"/>
      <c r="AF1063" s="410"/>
      <c r="AG1063" s="1596"/>
      <c r="AH1063" s="81"/>
      <c r="AI1063" s="125" t="s">
        <v>4</v>
      </c>
      <c r="AJ1063" s="1618"/>
      <c r="AK1063" s="78"/>
      <c r="AL1063" s="410"/>
      <c r="AM1063" s="1596"/>
      <c r="AN1063" s="81"/>
      <c r="AO1063" s="125" t="s">
        <v>4</v>
      </c>
      <c r="AP1063" s="1618"/>
      <c r="AQ1063" s="411"/>
    </row>
    <row r="1064" spans="1:43" ht="14.1" customHeight="1" x14ac:dyDescent="0.25">
      <c r="A1064" s="1621"/>
      <c r="B1064" s="1622"/>
      <c r="C1064" s="1622"/>
      <c r="D1064" s="1622"/>
      <c r="E1064" s="1622"/>
      <c r="F1064" s="1622"/>
      <c r="G1064" s="1622"/>
      <c r="H1064" s="1622"/>
      <c r="I1064" s="1595" t="s">
        <v>1127</v>
      </c>
      <c r="J1064" s="81"/>
      <c r="K1064" s="125" t="s">
        <v>1132</v>
      </c>
      <c r="L1064" s="1616"/>
      <c r="M1064" s="78"/>
      <c r="N1064" s="410"/>
      <c r="O1064" s="1595" t="s">
        <v>1127</v>
      </c>
      <c r="P1064" s="81"/>
      <c r="Q1064" s="125" t="s">
        <v>1132</v>
      </c>
      <c r="R1064" s="1646"/>
      <c r="S1064" s="78"/>
      <c r="T1064" s="410"/>
      <c r="U1064" s="1595" t="s">
        <v>1127</v>
      </c>
      <c r="V1064" s="81"/>
      <c r="W1064" s="125" t="s">
        <v>1132</v>
      </c>
      <c r="X1064" s="1616"/>
      <c r="Y1064" s="78"/>
      <c r="Z1064" s="410"/>
      <c r="AA1064" s="1595" t="s">
        <v>1127</v>
      </c>
      <c r="AB1064" s="81"/>
      <c r="AC1064" s="125" t="s">
        <v>1132</v>
      </c>
      <c r="AD1064" s="1616"/>
      <c r="AE1064" s="78"/>
      <c r="AF1064" s="410"/>
      <c r="AG1064" s="1595" t="s">
        <v>1127</v>
      </c>
      <c r="AH1064" s="81"/>
      <c r="AI1064" s="125" t="s">
        <v>1132</v>
      </c>
      <c r="AJ1064" s="1616"/>
      <c r="AK1064" s="78"/>
      <c r="AL1064" s="410"/>
      <c r="AM1064" s="1595" t="s">
        <v>1127</v>
      </c>
      <c r="AN1064" s="81"/>
      <c r="AO1064" s="125" t="s">
        <v>1132</v>
      </c>
      <c r="AP1064" s="1616"/>
      <c r="AQ1064" s="411"/>
    </row>
    <row r="1065" spans="1:43" ht="15.4" customHeight="1" x14ac:dyDescent="0.25">
      <c r="A1065" s="1621"/>
      <c r="B1065" s="1622"/>
      <c r="C1065" s="1622"/>
      <c r="D1065" s="1622"/>
      <c r="E1065" s="1622"/>
      <c r="F1065" s="1622"/>
      <c r="G1065" s="1622"/>
      <c r="H1065" s="1622"/>
      <c r="I1065" s="1612"/>
      <c r="J1065" s="81"/>
      <c r="K1065" s="125" t="s">
        <v>2</v>
      </c>
      <c r="L1065" s="1617"/>
      <c r="M1065" s="78"/>
      <c r="N1065" s="410"/>
      <c r="O1065" s="1612"/>
      <c r="P1065" s="81"/>
      <c r="Q1065" s="125" t="s">
        <v>2</v>
      </c>
      <c r="R1065" s="1647"/>
      <c r="S1065" s="78"/>
      <c r="T1065" s="410"/>
      <c r="U1065" s="1612"/>
      <c r="V1065" s="81"/>
      <c r="W1065" s="125" t="s">
        <v>2</v>
      </c>
      <c r="X1065" s="1617"/>
      <c r="Y1065" s="78"/>
      <c r="Z1065" s="410"/>
      <c r="AA1065" s="1612"/>
      <c r="AB1065" s="81"/>
      <c r="AC1065" s="125" t="s">
        <v>2</v>
      </c>
      <c r="AD1065" s="1617"/>
      <c r="AE1065" s="78"/>
      <c r="AF1065" s="410"/>
      <c r="AG1065" s="1612"/>
      <c r="AH1065" s="81"/>
      <c r="AI1065" s="125" t="s">
        <v>2</v>
      </c>
      <c r="AJ1065" s="1617"/>
      <c r="AK1065" s="78"/>
      <c r="AL1065" s="410"/>
      <c r="AM1065" s="1612"/>
      <c r="AN1065" s="81"/>
      <c r="AO1065" s="125" t="s">
        <v>2</v>
      </c>
      <c r="AP1065" s="1617"/>
      <c r="AQ1065" s="412"/>
    </row>
    <row r="1066" spans="1:43" ht="14.1" customHeight="1" x14ac:dyDescent="0.25">
      <c r="A1066" s="1621"/>
      <c r="B1066" s="1622"/>
      <c r="C1066" s="1622"/>
      <c r="D1066" s="1622"/>
      <c r="E1066" s="1622"/>
      <c r="F1066" s="1622"/>
      <c r="G1066" s="1622"/>
      <c r="H1066" s="1622"/>
      <c r="I1066" s="1596"/>
      <c r="J1066" s="81"/>
      <c r="K1066" s="125" t="s">
        <v>4</v>
      </c>
      <c r="L1066" s="1618"/>
      <c r="M1066" s="78"/>
      <c r="N1066" s="410"/>
      <c r="O1066" s="1596"/>
      <c r="P1066" s="81"/>
      <c r="Q1066" s="125" t="s">
        <v>4</v>
      </c>
      <c r="R1066" s="1648"/>
      <c r="S1066" s="78"/>
      <c r="T1066" s="410"/>
      <c r="U1066" s="1596"/>
      <c r="V1066" s="81"/>
      <c r="W1066" s="125" t="s">
        <v>4</v>
      </c>
      <c r="X1066" s="1618"/>
      <c r="Y1066" s="78"/>
      <c r="Z1066" s="410"/>
      <c r="AA1066" s="1596"/>
      <c r="AB1066" s="81"/>
      <c r="AC1066" s="125" t="s">
        <v>4</v>
      </c>
      <c r="AD1066" s="1618"/>
      <c r="AE1066" s="78"/>
      <c r="AF1066" s="410"/>
      <c r="AG1066" s="1596"/>
      <c r="AH1066" s="81"/>
      <c r="AI1066" s="125" t="s">
        <v>4</v>
      </c>
      <c r="AJ1066" s="1618"/>
      <c r="AK1066" s="78"/>
      <c r="AL1066" s="410"/>
      <c r="AM1066" s="1596"/>
      <c r="AN1066" s="81"/>
      <c r="AO1066" s="125" t="s">
        <v>4</v>
      </c>
      <c r="AP1066" s="1618"/>
      <c r="AQ1066" s="413"/>
    </row>
    <row r="1067" spans="1:43" ht="14.1" customHeight="1" x14ac:dyDescent="0.25">
      <c r="A1067" s="1621"/>
      <c r="B1067" s="1622"/>
      <c r="C1067" s="1622"/>
      <c r="D1067" s="1622"/>
      <c r="E1067" s="1622"/>
      <c r="F1067" s="1622"/>
      <c r="G1067" s="1622"/>
      <c r="H1067" s="1622"/>
      <c r="I1067" s="1595" t="s">
        <v>1128</v>
      </c>
      <c r="J1067" s="81"/>
      <c r="K1067" s="125" t="s">
        <v>1132</v>
      </c>
      <c r="L1067" s="1616"/>
      <c r="M1067" s="78"/>
      <c r="N1067" s="410"/>
      <c r="O1067" s="1595" t="s">
        <v>1128</v>
      </c>
      <c r="P1067" s="81"/>
      <c r="Q1067" s="125" t="s">
        <v>1132</v>
      </c>
      <c r="R1067" s="1646"/>
      <c r="S1067" s="78"/>
      <c r="T1067" s="410"/>
      <c r="U1067" s="1595" t="s">
        <v>1128</v>
      </c>
      <c r="V1067" s="81"/>
      <c r="W1067" s="125" t="s">
        <v>1132</v>
      </c>
      <c r="X1067" s="1616"/>
      <c r="Y1067" s="78"/>
      <c r="Z1067" s="410"/>
      <c r="AA1067" s="1595" t="s">
        <v>1128</v>
      </c>
      <c r="AB1067" s="81"/>
      <c r="AC1067" s="125" t="s">
        <v>1132</v>
      </c>
      <c r="AD1067" s="1616"/>
      <c r="AE1067" s="78"/>
      <c r="AF1067" s="410"/>
      <c r="AG1067" s="1595" t="s">
        <v>1128</v>
      </c>
      <c r="AH1067" s="81"/>
      <c r="AI1067" s="125" t="s">
        <v>1132</v>
      </c>
      <c r="AJ1067" s="1616"/>
      <c r="AK1067" s="78"/>
      <c r="AL1067" s="410"/>
      <c r="AM1067" s="1595" t="s">
        <v>1128</v>
      </c>
      <c r="AN1067" s="81"/>
      <c r="AO1067" s="125" t="s">
        <v>1132</v>
      </c>
      <c r="AP1067" s="1616"/>
      <c r="AQ1067" s="414"/>
    </row>
    <row r="1068" spans="1:43" ht="14.1" customHeight="1" x14ac:dyDescent="0.25">
      <c r="A1068" s="1621"/>
      <c r="B1068" s="1622"/>
      <c r="C1068" s="1622"/>
      <c r="D1068" s="1622"/>
      <c r="E1068" s="1622"/>
      <c r="F1068" s="1622"/>
      <c r="G1068" s="1622"/>
      <c r="H1068" s="1622"/>
      <c r="I1068" s="1612"/>
      <c r="J1068" s="81"/>
      <c r="K1068" s="125" t="s">
        <v>2</v>
      </c>
      <c r="L1068" s="1617"/>
      <c r="M1068" s="78"/>
      <c r="N1068" s="410"/>
      <c r="O1068" s="1612"/>
      <c r="P1068" s="81"/>
      <c r="Q1068" s="125" t="s">
        <v>2</v>
      </c>
      <c r="R1068" s="1647"/>
      <c r="S1068" s="78"/>
      <c r="T1068" s="410"/>
      <c r="U1068" s="1612"/>
      <c r="V1068" s="81"/>
      <c r="W1068" s="125" t="s">
        <v>2</v>
      </c>
      <c r="X1068" s="1617"/>
      <c r="Y1068" s="78"/>
      <c r="Z1068" s="410"/>
      <c r="AA1068" s="1612"/>
      <c r="AB1068" s="81"/>
      <c r="AC1068" s="125" t="s">
        <v>2</v>
      </c>
      <c r="AD1068" s="1617"/>
      <c r="AE1068" s="78"/>
      <c r="AF1068" s="410"/>
      <c r="AG1068" s="1612"/>
      <c r="AH1068" s="81"/>
      <c r="AI1068" s="125" t="s">
        <v>2</v>
      </c>
      <c r="AJ1068" s="1617"/>
      <c r="AK1068" s="78"/>
      <c r="AL1068" s="410"/>
      <c r="AM1068" s="1612"/>
      <c r="AN1068" s="81"/>
      <c r="AO1068" s="125" t="s">
        <v>2</v>
      </c>
      <c r="AP1068" s="1617"/>
      <c r="AQ1068" s="414"/>
    </row>
    <row r="1069" spans="1:43" ht="14.1" customHeight="1" x14ac:dyDescent="0.25">
      <c r="A1069" s="1621"/>
      <c r="B1069" s="1622"/>
      <c r="C1069" s="1622"/>
      <c r="D1069" s="1622"/>
      <c r="E1069" s="1622"/>
      <c r="F1069" s="1622"/>
      <c r="G1069" s="1622"/>
      <c r="H1069" s="1622"/>
      <c r="I1069" s="1596"/>
      <c r="J1069" s="81"/>
      <c r="K1069" s="125" t="s">
        <v>4</v>
      </c>
      <c r="L1069" s="1618"/>
      <c r="M1069" s="78"/>
      <c r="N1069" s="410"/>
      <c r="O1069" s="1596"/>
      <c r="P1069" s="81"/>
      <c r="Q1069" s="125" t="s">
        <v>4</v>
      </c>
      <c r="R1069" s="1648"/>
      <c r="S1069" s="78"/>
      <c r="T1069" s="410"/>
      <c r="U1069" s="1596"/>
      <c r="V1069" s="81"/>
      <c r="W1069" s="125" t="s">
        <v>4</v>
      </c>
      <c r="X1069" s="1618"/>
      <c r="Y1069" s="78"/>
      <c r="Z1069" s="410"/>
      <c r="AA1069" s="1596"/>
      <c r="AB1069" s="81"/>
      <c r="AC1069" s="125" t="s">
        <v>4</v>
      </c>
      <c r="AD1069" s="1618"/>
      <c r="AE1069" s="78"/>
      <c r="AF1069" s="410"/>
      <c r="AG1069" s="1596"/>
      <c r="AH1069" s="81"/>
      <c r="AI1069" s="125" t="s">
        <v>4</v>
      </c>
      <c r="AJ1069" s="1618"/>
      <c r="AK1069" s="78"/>
      <c r="AL1069" s="410"/>
      <c r="AM1069" s="1596"/>
      <c r="AN1069" s="81"/>
      <c r="AO1069" s="125" t="s">
        <v>4</v>
      </c>
      <c r="AP1069" s="1618"/>
      <c r="AQ1069" s="414"/>
    </row>
    <row r="1070" spans="1:43" x14ac:dyDescent="0.25">
      <c r="A1070" s="1621"/>
      <c r="B1070" s="1622"/>
      <c r="C1070" s="1622"/>
      <c r="D1070" s="1622"/>
      <c r="E1070" s="1622"/>
      <c r="F1070" s="1622"/>
      <c r="G1070" s="1622"/>
      <c r="H1070" s="1622"/>
      <c r="I1070" s="1028" t="s">
        <v>8</v>
      </c>
      <c r="J1070" s="81"/>
      <c r="K1070" s="125" t="s">
        <v>2</v>
      </c>
      <c r="L1070" s="81"/>
      <c r="M1070" s="78"/>
      <c r="N1070" s="410"/>
      <c r="O1070" s="1028" t="s">
        <v>8</v>
      </c>
      <c r="P1070" s="81"/>
      <c r="Q1070" s="125" t="s">
        <v>2</v>
      </c>
      <c r="R1070" s="562"/>
      <c r="S1070" s="78"/>
      <c r="T1070" s="410"/>
      <c r="U1070" s="1028" t="s">
        <v>8</v>
      </c>
      <c r="V1070" s="81"/>
      <c r="W1070" s="125" t="s">
        <v>2</v>
      </c>
      <c r="X1070" s="81"/>
      <c r="Y1070" s="78"/>
      <c r="Z1070" s="410"/>
      <c r="AA1070" s="1028" t="s">
        <v>8</v>
      </c>
      <c r="AB1070" s="81"/>
      <c r="AC1070" s="125" t="s">
        <v>2</v>
      </c>
      <c r="AD1070" s="81"/>
      <c r="AE1070" s="78"/>
      <c r="AF1070" s="410"/>
      <c r="AG1070" s="1028" t="s">
        <v>8</v>
      </c>
      <c r="AH1070" s="81"/>
      <c r="AI1070" s="125" t="s">
        <v>2</v>
      </c>
      <c r="AJ1070" s="81"/>
      <c r="AK1070" s="78"/>
      <c r="AL1070" s="410"/>
      <c r="AM1070" s="1028" t="s">
        <v>8</v>
      </c>
      <c r="AN1070" s="81"/>
      <c r="AO1070" s="125" t="s">
        <v>2</v>
      </c>
      <c r="AP1070" s="81"/>
      <c r="AQ1070" s="414"/>
    </row>
    <row r="1071" spans="1:43" ht="31.5" x14ac:dyDescent="0.25">
      <c r="A1071" s="1621"/>
      <c r="B1071" s="1622"/>
      <c r="C1071" s="1622"/>
      <c r="D1071" s="1622"/>
      <c r="E1071" s="1622"/>
      <c r="F1071" s="1622"/>
      <c r="G1071" s="1622"/>
      <c r="H1071" s="1622"/>
      <c r="I1071" s="126" t="s">
        <v>9</v>
      </c>
      <c r="J1071" s="81"/>
      <c r="K1071" s="125" t="s">
        <v>10</v>
      </c>
      <c r="L1071" s="81"/>
      <c r="M1071" s="78"/>
      <c r="N1071" s="410"/>
      <c r="O1071" s="126" t="s">
        <v>9</v>
      </c>
      <c r="P1071" s="81"/>
      <c r="Q1071" s="125" t="s">
        <v>10</v>
      </c>
      <c r="R1071" s="562"/>
      <c r="S1071" s="78"/>
      <c r="T1071" s="410"/>
      <c r="U1071" s="126" t="s">
        <v>9</v>
      </c>
      <c r="V1071" s="81"/>
      <c r="W1071" s="125" t="s">
        <v>10</v>
      </c>
      <c r="X1071" s="81"/>
      <c r="Y1071" s="78"/>
      <c r="Z1071" s="410"/>
      <c r="AA1071" s="126" t="s">
        <v>9</v>
      </c>
      <c r="AB1071" s="81"/>
      <c r="AC1071" s="125" t="s">
        <v>10</v>
      </c>
      <c r="AD1071" s="81"/>
      <c r="AE1071" s="78"/>
      <c r="AF1071" s="410"/>
      <c r="AG1071" s="126" t="s">
        <v>9</v>
      </c>
      <c r="AH1071" s="81"/>
      <c r="AI1071" s="125" t="s">
        <v>10</v>
      </c>
      <c r="AJ1071" s="81"/>
      <c r="AK1071" s="78"/>
      <c r="AL1071" s="410"/>
      <c r="AM1071" s="126" t="s">
        <v>9</v>
      </c>
      <c r="AN1071" s="81"/>
      <c r="AO1071" s="125" t="s">
        <v>10</v>
      </c>
      <c r="AP1071" s="81"/>
      <c r="AQ1071" s="414"/>
    </row>
    <row r="1072" spans="1:43" ht="31.5" x14ac:dyDescent="0.25">
      <c r="A1072" s="1621"/>
      <c r="B1072" s="1622"/>
      <c r="C1072" s="1622"/>
      <c r="D1072" s="1622"/>
      <c r="E1072" s="1622"/>
      <c r="F1072" s="1622"/>
      <c r="G1072" s="1622"/>
      <c r="H1072" s="1622"/>
      <c r="I1072" s="126" t="s">
        <v>32</v>
      </c>
      <c r="J1072" s="81"/>
      <c r="K1072" s="125" t="s">
        <v>10</v>
      </c>
      <c r="L1072" s="81"/>
      <c r="M1072" s="78"/>
      <c r="N1072" s="410"/>
      <c r="O1072" s="126" t="s">
        <v>32</v>
      </c>
      <c r="P1072" s="81"/>
      <c r="Q1072" s="125" t="s">
        <v>10</v>
      </c>
      <c r="R1072" s="562"/>
      <c r="S1072" s="78"/>
      <c r="T1072" s="410"/>
      <c r="U1072" s="126" t="s">
        <v>32</v>
      </c>
      <c r="V1072" s="81"/>
      <c r="W1072" s="125" t="s">
        <v>10</v>
      </c>
      <c r="X1072" s="81"/>
      <c r="Y1072" s="78"/>
      <c r="Z1072" s="410"/>
      <c r="AA1072" s="126" t="s">
        <v>32</v>
      </c>
      <c r="AB1072" s="81"/>
      <c r="AC1072" s="125" t="s">
        <v>10</v>
      </c>
      <c r="AD1072" s="81"/>
      <c r="AE1072" s="78"/>
      <c r="AF1072" s="410"/>
      <c r="AG1072" s="126" t="s">
        <v>32</v>
      </c>
      <c r="AH1072" s="81"/>
      <c r="AI1072" s="125" t="s">
        <v>10</v>
      </c>
      <c r="AJ1072" s="81"/>
      <c r="AK1072" s="78"/>
      <c r="AL1072" s="410"/>
      <c r="AM1072" s="126" t="s">
        <v>32</v>
      </c>
      <c r="AN1072" s="81"/>
      <c r="AO1072" s="125" t="s">
        <v>10</v>
      </c>
      <c r="AP1072" s="81"/>
      <c r="AQ1072" s="414"/>
    </row>
    <row r="1073" spans="1:43" ht="31.5" x14ac:dyDescent="0.25">
      <c r="A1073" s="1621"/>
      <c r="B1073" s="1622"/>
      <c r="C1073" s="1622"/>
      <c r="D1073" s="1622"/>
      <c r="E1073" s="1622"/>
      <c r="F1073" s="1622"/>
      <c r="G1073" s="1622"/>
      <c r="H1073" s="1622"/>
      <c r="I1073" s="126" t="s">
        <v>1129</v>
      </c>
      <c r="J1073" s="81"/>
      <c r="K1073" s="125" t="s">
        <v>1132</v>
      </c>
      <c r="L1073" s="81"/>
      <c r="M1073" s="78"/>
      <c r="N1073" s="410"/>
      <c r="O1073" s="126" t="s">
        <v>1129</v>
      </c>
      <c r="P1073" s="81"/>
      <c r="Q1073" s="125" t="s">
        <v>1132</v>
      </c>
      <c r="R1073" s="562"/>
      <c r="S1073" s="78"/>
      <c r="T1073" s="410"/>
      <c r="U1073" s="126" t="s">
        <v>1129</v>
      </c>
      <c r="V1073" s="81"/>
      <c r="W1073" s="125" t="s">
        <v>1132</v>
      </c>
      <c r="X1073" s="81"/>
      <c r="Y1073" s="78"/>
      <c r="Z1073" s="410"/>
      <c r="AA1073" s="126" t="s">
        <v>1129</v>
      </c>
      <c r="AB1073" s="81"/>
      <c r="AC1073" s="125" t="s">
        <v>1132</v>
      </c>
      <c r="AD1073" s="81"/>
      <c r="AE1073" s="78"/>
      <c r="AF1073" s="410"/>
      <c r="AG1073" s="126" t="s">
        <v>1129</v>
      </c>
      <c r="AH1073" s="81"/>
      <c r="AI1073" s="125" t="s">
        <v>1132</v>
      </c>
      <c r="AJ1073" s="81"/>
      <c r="AK1073" s="78"/>
      <c r="AL1073" s="410"/>
      <c r="AM1073" s="126" t="s">
        <v>1129</v>
      </c>
      <c r="AN1073" s="81"/>
      <c r="AO1073" s="125" t="s">
        <v>1132</v>
      </c>
      <c r="AP1073" s="81"/>
      <c r="AQ1073" s="414"/>
    </row>
    <row r="1074" spans="1:43" x14ac:dyDescent="0.25">
      <c r="A1074" s="1621"/>
      <c r="B1074" s="1622"/>
      <c r="C1074" s="1622"/>
      <c r="D1074" s="1622"/>
      <c r="E1074" s="1622"/>
      <c r="F1074" s="1622"/>
      <c r="G1074" s="1622"/>
      <c r="H1074" s="1622"/>
      <c r="I1074" s="126" t="s">
        <v>11</v>
      </c>
      <c r="J1074" s="81"/>
      <c r="K1074" s="125" t="s">
        <v>4</v>
      </c>
      <c r="L1074" s="81"/>
      <c r="M1074" s="78"/>
      <c r="N1074" s="410"/>
      <c r="O1074" s="126" t="s">
        <v>11</v>
      </c>
      <c r="P1074" s="81"/>
      <c r="Q1074" s="125" t="s">
        <v>4</v>
      </c>
      <c r="R1074" s="562"/>
      <c r="S1074" s="78"/>
      <c r="T1074" s="410"/>
      <c r="U1074" s="126" t="s">
        <v>11</v>
      </c>
      <c r="V1074" s="81"/>
      <c r="W1074" s="125" t="s">
        <v>4</v>
      </c>
      <c r="X1074" s="81"/>
      <c r="Y1074" s="78"/>
      <c r="Z1074" s="410"/>
      <c r="AA1074" s="126" t="s">
        <v>11</v>
      </c>
      <c r="AB1074" s="81"/>
      <c r="AC1074" s="125" t="s">
        <v>4</v>
      </c>
      <c r="AD1074" s="81"/>
      <c r="AE1074" s="78"/>
      <c r="AF1074" s="410"/>
      <c r="AG1074" s="126" t="s">
        <v>11</v>
      </c>
      <c r="AH1074" s="81"/>
      <c r="AI1074" s="125" t="s">
        <v>4</v>
      </c>
      <c r="AJ1074" s="81"/>
      <c r="AK1074" s="78"/>
      <c r="AL1074" s="410"/>
      <c r="AM1074" s="126" t="s">
        <v>11</v>
      </c>
      <c r="AN1074" s="81"/>
      <c r="AO1074" s="125" t="s">
        <v>4</v>
      </c>
      <c r="AP1074" s="81"/>
      <c r="AQ1074" s="414"/>
    </row>
    <row r="1075" spans="1:43" x14ac:dyDescent="0.25">
      <c r="A1075" s="1621"/>
      <c r="B1075" s="1622"/>
      <c r="C1075" s="1622"/>
      <c r="D1075" s="1622"/>
      <c r="E1075" s="1622"/>
      <c r="F1075" s="1622"/>
      <c r="G1075" s="1622"/>
      <c r="H1075" s="1622"/>
      <c r="I1075" s="126" t="s">
        <v>1130</v>
      </c>
      <c r="J1075" s="81"/>
      <c r="K1075" s="125" t="s">
        <v>1132</v>
      </c>
      <c r="L1075" s="81"/>
      <c r="M1075" s="78"/>
      <c r="N1075" s="410"/>
      <c r="O1075" s="126" t="s">
        <v>1130</v>
      </c>
      <c r="P1075" s="81"/>
      <c r="Q1075" s="125" t="s">
        <v>1132</v>
      </c>
      <c r="R1075" s="562"/>
      <c r="S1075" s="78"/>
      <c r="T1075" s="410"/>
      <c r="U1075" s="126" t="s">
        <v>1130</v>
      </c>
      <c r="V1075" s="81"/>
      <c r="W1075" s="125" t="s">
        <v>1132</v>
      </c>
      <c r="X1075" s="81"/>
      <c r="Y1075" s="78"/>
      <c r="Z1075" s="410"/>
      <c r="AA1075" s="126" t="s">
        <v>1130</v>
      </c>
      <c r="AB1075" s="81"/>
      <c r="AC1075" s="125" t="s">
        <v>1132</v>
      </c>
      <c r="AD1075" s="81"/>
      <c r="AE1075" s="78"/>
      <c r="AF1075" s="410"/>
      <c r="AG1075" s="126" t="s">
        <v>1130</v>
      </c>
      <c r="AH1075" s="81"/>
      <c r="AI1075" s="125" t="s">
        <v>1132</v>
      </c>
      <c r="AJ1075" s="81"/>
      <c r="AK1075" s="78"/>
      <c r="AL1075" s="410"/>
      <c r="AM1075" s="126" t="s">
        <v>1130</v>
      </c>
      <c r="AN1075" s="81"/>
      <c r="AO1075" s="125" t="s">
        <v>1132</v>
      </c>
      <c r="AP1075" s="81"/>
      <c r="AQ1075" s="414"/>
    </row>
    <row r="1076" spans="1:43" ht="47.25" x14ac:dyDescent="0.25">
      <c r="A1076" s="1621"/>
      <c r="B1076" s="1622"/>
      <c r="C1076" s="1622"/>
      <c r="D1076" s="1622"/>
      <c r="E1076" s="1622"/>
      <c r="F1076" s="1622"/>
      <c r="G1076" s="1622"/>
      <c r="H1076" s="1622"/>
      <c r="I1076" s="126" t="s">
        <v>33</v>
      </c>
      <c r="J1076" s="81"/>
      <c r="K1076" s="125" t="s">
        <v>1132</v>
      </c>
      <c r="L1076" s="81"/>
      <c r="M1076" s="78"/>
      <c r="N1076" s="410"/>
      <c r="O1076" s="126" t="s">
        <v>33</v>
      </c>
      <c r="P1076" s="81"/>
      <c r="Q1076" s="125" t="s">
        <v>1132</v>
      </c>
      <c r="R1076" s="562"/>
      <c r="S1076" s="78"/>
      <c r="T1076" s="410"/>
      <c r="U1076" s="126" t="s">
        <v>33</v>
      </c>
      <c r="V1076" s="81"/>
      <c r="W1076" s="125" t="s">
        <v>1132</v>
      </c>
      <c r="X1076" s="81"/>
      <c r="Y1076" s="78"/>
      <c r="Z1076" s="410"/>
      <c r="AA1076" s="126" t="s">
        <v>33</v>
      </c>
      <c r="AB1076" s="81"/>
      <c r="AC1076" s="125" t="s">
        <v>1132</v>
      </c>
      <c r="AD1076" s="81"/>
      <c r="AE1076" s="78"/>
      <c r="AF1076" s="410"/>
      <c r="AG1076" s="126" t="s">
        <v>33</v>
      </c>
      <c r="AH1076" s="81"/>
      <c r="AI1076" s="125" t="s">
        <v>1132</v>
      </c>
      <c r="AJ1076" s="81"/>
      <c r="AK1076" s="78"/>
      <c r="AL1076" s="410"/>
      <c r="AM1076" s="126" t="s">
        <v>33</v>
      </c>
      <c r="AN1076" s="81"/>
      <c r="AO1076" s="125" t="s">
        <v>1132</v>
      </c>
      <c r="AP1076" s="81"/>
      <c r="AQ1076" s="414"/>
    </row>
    <row r="1077" spans="1:43" x14ac:dyDescent="0.25">
      <c r="A1077" s="1621"/>
      <c r="B1077" s="1622"/>
      <c r="C1077" s="1622"/>
      <c r="D1077" s="1622"/>
      <c r="E1077" s="1622"/>
      <c r="F1077" s="1622"/>
      <c r="G1077" s="1622"/>
      <c r="H1077" s="1622"/>
      <c r="I1077" s="126" t="s">
        <v>1073</v>
      </c>
      <c r="J1077" s="81"/>
      <c r="K1077" s="125" t="s">
        <v>4</v>
      </c>
      <c r="L1077" s="81"/>
      <c r="M1077" s="78"/>
      <c r="N1077" s="410"/>
      <c r="O1077" s="126" t="s">
        <v>1073</v>
      </c>
      <c r="P1077" s="81"/>
      <c r="Q1077" s="125" t="s">
        <v>4</v>
      </c>
      <c r="R1077" s="562"/>
      <c r="S1077" s="78"/>
      <c r="T1077" s="410"/>
      <c r="U1077" s="126" t="s">
        <v>1073</v>
      </c>
      <c r="V1077" s="81"/>
      <c r="W1077" s="125" t="s">
        <v>4</v>
      </c>
      <c r="X1077" s="81"/>
      <c r="Y1077" s="78"/>
      <c r="Z1077" s="410"/>
      <c r="AA1077" s="126" t="s">
        <v>1073</v>
      </c>
      <c r="AB1077" s="81"/>
      <c r="AC1077" s="125" t="s">
        <v>4</v>
      </c>
      <c r="AD1077" s="81"/>
      <c r="AE1077" s="78"/>
      <c r="AF1077" s="410"/>
      <c r="AG1077" s="126" t="s">
        <v>1073</v>
      </c>
      <c r="AH1077" s="81"/>
      <c r="AI1077" s="125" t="s">
        <v>4</v>
      </c>
      <c r="AJ1077" s="81"/>
      <c r="AK1077" s="78"/>
      <c r="AL1077" s="410"/>
      <c r="AM1077" s="126" t="s">
        <v>1073</v>
      </c>
      <c r="AN1077" s="81"/>
      <c r="AO1077" s="125" t="s">
        <v>4</v>
      </c>
      <c r="AP1077" s="81"/>
      <c r="AQ1077" s="414"/>
    </row>
    <row r="1078" spans="1:43" ht="47.25" x14ac:dyDescent="0.25">
      <c r="A1078" s="1621"/>
      <c r="B1078" s="1622"/>
      <c r="C1078" s="1622"/>
      <c r="D1078" s="1622"/>
      <c r="E1078" s="1622"/>
      <c r="F1078" s="1622"/>
      <c r="G1078" s="1622"/>
      <c r="H1078" s="1622"/>
      <c r="I1078" s="126" t="s">
        <v>1074</v>
      </c>
      <c r="J1078" s="81"/>
      <c r="K1078" s="125" t="s">
        <v>4</v>
      </c>
      <c r="L1078" s="81"/>
      <c r="M1078" s="78"/>
      <c r="N1078" s="410"/>
      <c r="O1078" s="126" t="s">
        <v>1074</v>
      </c>
      <c r="P1078" s="81"/>
      <c r="Q1078" s="125" t="s">
        <v>4</v>
      </c>
      <c r="R1078" s="562"/>
      <c r="S1078" s="78"/>
      <c r="T1078" s="410"/>
      <c r="U1078" s="126" t="s">
        <v>1074</v>
      </c>
      <c r="V1078" s="81"/>
      <c r="W1078" s="125" t="s">
        <v>4</v>
      </c>
      <c r="X1078" s="81"/>
      <c r="Y1078" s="78"/>
      <c r="Z1078" s="410"/>
      <c r="AA1078" s="126" t="s">
        <v>1074</v>
      </c>
      <c r="AB1078" s="81"/>
      <c r="AC1078" s="125" t="s">
        <v>4</v>
      </c>
      <c r="AD1078" s="81"/>
      <c r="AE1078" s="78"/>
      <c r="AF1078" s="410"/>
      <c r="AG1078" s="126" t="s">
        <v>1074</v>
      </c>
      <c r="AH1078" s="81"/>
      <c r="AI1078" s="125" t="s">
        <v>4</v>
      </c>
      <c r="AJ1078" s="81"/>
      <c r="AK1078" s="78"/>
      <c r="AL1078" s="410"/>
      <c r="AM1078" s="126" t="s">
        <v>1074</v>
      </c>
      <c r="AN1078" s="81"/>
      <c r="AO1078" s="125" t="s">
        <v>4</v>
      </c>
      <c r="AP1078" s="81"/>
      <c r="AQ1078" s="414"/>
    </row>
    <row r="1079" spans="1:43" ht="31.5" x14ac:dyDescent="0.25">
      <c r="A1079" s="1621"/>
      <c r="B1079" s="1622"/>
      <c r="C1079" s="1622"/>
      <c r="D1079" s="1622"/>
      <c r="E1079" s="1622"/>
      <c r="F1079" s="1622"/>
      <c r="G1079" s="1622"/>
      <c r="H1079" s="1622"/>
      <c r="I1079" s="126" t="s">
        <v>1075</v>
      </c>
      <c r="J1079" s="81"/>
      <c r="K1079" s="125" t="s">
        <v>4</v>
      </c>
      <c r="L1079" s="81"/>
      <c r="M1079" s="78"/>
      <c r="N1079" s="410"/>
      <c r="O1079" s="126" t="s">
        <v>1075</v>
      </c>
      <c r="P1079" s="81"/>
      <c r="Q1079" s="125" t="s">
        <v>4</v>
      </c>
      <c r="R1079" s="562"/>
      <c r="S1079" s="78"/>
      <c r="T1079" s="410"/>
      <c r="U1079" s="126" t="s">
        <v>1075</v>
      </c>
      <c r="V1079" s="81"/>
      <c r="W1079" s="125" t="s">
        <v>4</v>
      </c>
      <c r="X1079" s="81"/>
      <c r="Y1079" s="78"/>
      <c r="Z1079" s="410"/>
      <c r="AA1079" s="126" t="s">
        <v>1075</v>
      </c>
      <c r="AB1079" s="81"/>
      <c r="AC1079" s="125" t="s">
        <v>4</v>
      </c>
      <c r="AD1079" s="81"/>
      <c r="AE1079" s="78"/>
      <c r="AF1079" s="410"/>
      <c r="AG1079" s="126" t="s">
        <v>1075</v>
      </c>
      <c r="AH1079" s="81"/>
      <c r="AI1079" s="125" t="s">
        <v>4</v>
      </c>
      <c r="AJ1079" s="81"/>
      <c r="AK1079" s="78"/>
      <c r="AL1079" s="410"/>
      <c r="AM1079" s="126" t="s">
        <v>1075</v>
      </c>
      <c r="AN1079" s="81"/>
      <c r="AO1079" s="125" t="s">
        <v>4</v>
      </c>
      <c r="AP1079" s="81"/>
      <c r="AQ1079" s="414"/>
    </row>
    <row r="1080" spans="1:43" ht="31.5" x14ac:dyDescent="0.25">
      <c r="A1080" s="1621"/>
      <c r="B1080" s="1622"/>
      <c r="C1080" s="1622"/>
      <c r="D1080" s="1622"/>
      <c r="E1080" s="1622"/>
      <c r="F1080" s="1622"/>
      <c r="G1080" s="1622"/>
      <c r="H1080" s="1622"/>
      <c r="I1080" s="126" t="s">
        <v>1076</v>
      </c>
      <c r="J1080" s="81"/>
      <c r="K1080" s="125" t="s">
        <v>10</v>
      </c>
      <c r="L1080" s="81"/>
      <c r="M1080" s="78"/>
      <c r="N1080" s="410"/>
      <c r="O1080" s="126" t="s">
        <v>1076</v>
      </c>
      <c r="P1080" s="81"/>
      <c r="Q1080" s="125" t="s">
        <v>10</v>
      </c>
      <c r="R1080" s="562"/>
      <c r="S1080" s="78"/>
      <c r="T1080" s="410"/>
      <c r="U1080" s="126" t="s">
        <v>1076</v>
      </c>
      <c r="V1080" s="81"/>
      <c r="W1080" s="125" t="s">
        <v>10</v>
      </c>
      <c r="X1080" s="81"/>
      <c r="Y1080" s="78"/>
      <c r="Z1080" s="410"/>
      <c r="AA1080" s="126" t="s">
        <v>1076</v>
      </c>
      <c r="AB1080" s="81"/>
      <c r="AC1080" s="125" t="s">
        <v>10</v>
      </c>
      <c r="AD1080" s="81"/>
      <c r="AE1080" s="78"/>
      <c r="AF1080" s="410"/>
      <c r="AG1080" s="126" t="s">
        <v>1076</v>
      </c>
      <c r="AH1080" s="81"/>
      <c r="AI1080" s="125" t="s">
        <v>10</v>
      </c>
      <c r="AJ1080" s="81"/>
      <c r="AK1080" s="78"/>
      <c r="AL1080" s="410"/>
      <c r="AM1080" s="126" t="s">
        <v>1076</v>
      </c>
      <c r="AN1080" s="81"/>
      <c r="AO1080" s="125" t="s">
        <v>10</v>
      </c>
      <c r="AP1080" s="81"/>
      <c r="AQ1080" s="414"/>
    </row>
    <row r="1081" spans="1:43" ht="31.5" x14ac:dyDescent="0.25">
      <c r="A1081" s="1621"/>
      <c r="B1081" s="1622"/>
      <c r="C1081" s="1622"/>
      <c r="D1081" s="1622"/>
      <c r="E1081" s="1622"/>
      <c r="F1081" s="1622"/>
      <c r="G1081" s="1622"/>
      <c r="H1081" s="1622"/>
      <c r="I1081" s="126" t="s">
        <v>1131</v>
      </c>
      <c r="J1081" s="81"/>
      <c r="K1081" s="125" t="s">
        <v>1132</v>
      </c>
      <c r="L1081" s="81"/>
      <c r="M1081" s="78"/>
      <c r="N1081" s="410"/>
      <c r="O1081" s="126" t="s">
        <v>1131</v>
      </c>
      <c r="P1081" s="81"/>
      <c r="Q1081" s="125" t="s">
        <v>1132</v>
      </c>
      <c r="R1081" s="562"/>
      <c r="S1081" s="78"/>
      <c r="T1081" s="410"/>
      <c r="U1081" s="126" t="s">
        <v>1131</v>
      </c>
      <c r="V1081" s="81"/>
      <c r="W1081" s="125" t="s">
        <v>1132</v>
      </c>
      <c r="X1081" s="81"/>
      <c r="Y1081" s="78"/>
      <c r="Z1081" s="410"/>
      <c r="AA1081" s="126" t="s">
        <v>1131</v>
      </c>
      <c r="AB1081" s="81"/>
      <c r="AC1081" s="125" t="s">
        <v>1132</v>
      </c>
      <c r="AD1081" s="81"/>
      <c r="AE1081" s="78"/>
      <c r="AF1081" s="410"/>
      <c r="AG1081" s="126" t="s">
        <v>1131</v>
      </c>
      <c r="AH1081" s="81"/>
      <c r="AI1081" s="125" t="s">
        <v>1132</v>
      </c>
      <c r="AJ1081" s="81"/>
      <c r="AK1081" s="78"/>
      <c r="AL1081" s="410"/>
      <c r="AM1081" s="126" t="s">
        <v>1131</v>
      </c>
      <c r="AN1081" s="81"/>
      <c r="AO1081" s="125" t="s">
        <v>1132</v>
      </c>
      <c r="AP1081" s="81"/>
      <c r="AQ1081" s="414"/>
    </row>
    <row r="1082" spans="1:43" ht="84.2" customHeight="1" x14ac:dyDescent="0.25">
      <c r="A1082" s="1621"/>
      <c r="B1082" s="1622"/>
      <c r="C1082" s="1622"/>
      <c r="D1082" s="1622"/>
      <c r="E1082" s="1622"/>
      <c r="F1082" s="1622"/>
      <c r="G1082" s="1622"/>
      <c r="H1082" s="1622"/>
      <c r="I1082" s="126" t="s">
        <v>1134</v>
      </c>
      <c r="J1082" s="81"/>
      <c r="K1082" s="125" t="s">
        <v>1133</v>
      </c>
      <c r="L1082" s="81"/>
      <c r="M1082" s="78"/>
      <c r="N1082" s="410"/>
      <c r="O1082" s="126" t="s">
        <v>1134</v>
      </c>
      <c r="P1082" s="81"/>
      <c r="Q1082" s="125" t="s">
        <v>1133</v>
      </c>
      <c r="R1082" s="562"/>
      <c r="S1082" s="78"/>
      <c r="T1082" s="410"/>
      <c r="U1082" s="126" t="s">
        <v>1134</v>
      </c>
      <c r="V1082" s="81"/>
      <c r="W1082" s="125" t="s">
        <v>1133</v>
      </c>
      <c r="X1082" s="81"/>
      <c r="Y1082" s="78"/>
      <c r="Z1082" s="410"/>
      <c r="AA1082" s="126" t="s">
        <v>1134</v>
      </c>
      <c r="AB1082" s="81"/>
      <c r="AC1082" s="125" t="s">
        <v>1133</v>
      </c>
      <c r="AD1082" s="81"/>
      <c r="AE1082" s="78"/>
      <c r="AF1082" s="410"/>
      <c r="AG1082" s="126" t="s">
        <v>1134</v>
      </c>
      <c r="AH1082" s="81"/>
      <c r="AI1082" s="125" t="s">
        <v>1133</v>
      </c>
      <c r="AJ1082" s="81"/>
      <c r="AK1082" s="78"/>
      <c r="AL1082" s="410"/>
      <c r="AM1082" s="126" t="s">
        <v>1134</v>
      </c>
      <c r="AN1082" s="81"/>
      <c r="AO1082" s="125" t="s">
        <v>1133</v>
      </c>
      <c r="AP1082" s="81"/>
      <c r="AQ1082" s="414"/>
    </row>
    <row r="1083" spans="1:43" ht="22.5" customHeight="1" x14ac:dyDescent="0.25">
      <c r="A1083" s="1665" t="s">
        <v>1143</v>
      </c>
      <c r="B1083" s="1666"/>
      <c r="C1083" s="1666"/>
      <c r="D1083" s="1666"/>
      <c r="E1083" s="1666"/>
      <c r="F1083" s="1666"/>
      <c r="G1083" s="1666"/>
      <c r="H1083" s="1666"/>
      <c r="I1083" s="1666"/>
      <c r="J1083" s="1666"/>
      <c r="K1083" s="1666"/>
      <c r="L1083" s="1666"/>
      <c r="M1083" s="1666"/>
      <c r="N1083" s="1666"/>
      <c r="O1083" s="1666"/>
      <c r="P1083" s="1666"/>
      <c r="Q1083" s="1666"/>
      <c r="R1083" s="1666"/>
      <c r="S1083" s="1666"/>
      <c r="T1083" s="1666"/>
      <c r="U1083" s="1666"/>
      <c r="V1083" s="1666"/>
      <c r="W1083" s="1666"/>
      <c r="X1083" s="1666"/>
      <c r="Y1083" s="1666"/>
      <c r="Z1083" s="1666"/>
      <c r="AA1083" s="1666"/>
      <c r="AB1083" s="1666"/>
      <c r="AC1083" s="1666"/>
      <c r="AD1083" s="1666"/>
      <c r="AE1083" s="1666"/>
      <c r="AF1083" s="1666"/>
      <c r="AG1083" s="1666"/>
      <c r="AH1083" s="1666"/>
      <c r="AI1083" s="1666"/>
      <c r="AJ1083" s="1666"/>
      <c r="AK1083" s="1666"/>
      <c r="AL1083" s="1666"/>
      <c r="AM1083" s="1666"/>
      <c r="AN1083" s="1666"/>
      <c r="AO1083" s="1666"/>
      <c r="AP1083" s="1666"/>
      <c r="AQ1083" s="1667"/>
    </row>
    <row r="1084" spans="1:43" ht="22.5" customHeight="1" x14ac:dyDescent="0.25">
      <c r="A1084" s="1625" t="s">
        <v>1142</v>
      </c>
      <c r="B1084" s="1626"/>
      <c r="C1084" s="1626"/>
      <c r="D1084" s="1626"/>
      <c r="E1084" s="1626"/>
      <c r="F1084" s="1626"/>
      <c r="G1084" s="1626"/>
      <c r="H1084" s="1626"/>
      <c r="I1084" s="1626"/>
      <c r="J1084" s="1626"/>
      <c r="K1084" s="1626"/>
      <c r="L1084" s="1626"/>
      <c r="M1084" s="1626"/>
      <c r="N1084" s="1626"/>
      <c r="O1084" s="1626"/>
      <c r="P1084" s="1626"/>
      <c r="Q1084" s="1626"/>
      <c r="R1084" s="1626"/>
      <c r="S1084" s="1626"/>
      <c r="T1084" s="1626"/>
      <c r="U1084" s="1626"/>
      <c r="V1084" s="1626"/>
      <c r="W1084" s="1626"/>
      <c r="X1084" s="1626"/>
      <c r="Y1084" s="1626"/>
      <c r="Z1084" s="1626"/>
      <c r="AA1084" s="1626"/>
      <c r="AB1084" s="1626"/>
      <c r="AC1084" s="1626"/>
      <c r="AD1084" s="1626"/>
      <c r="AE1084" s="1626"/>
      <c r="AF1084" s="1626"/>
      <c r="AG1084" s="1626"/>
      <c r="AH1084" s="1626"/>
      <c r="AI1084" s="1626"/>
      <c r="AJ1084" s="1626"/>
      <c r="AK1084" s="1626"/>
      <c r="AL1084" s="1626"/>
      <c r="AM1084" s="1626"/>
      <c r="AN1084" s="1626"/>
      <c r="AO1084" s="1626"/>
      <c r="AP1084" s="1626"/>
      <c r="AQ1084" s="1029"/>
    </row>
    <row r="1085" spans="1:43" ht="33" customHeight="1" x14ac:dyDescent="0.25">
      <c r="A1085" s="307"/>
      <c r="B1085" s="1597" t="s">
        <v>1183</v>
      </c>
      <c r="C1085" s="1598"/>
      <c r="D1085" s="1598"/>
      <c r="E1085" s="1598"/>
      <c r="F1085" s="1599"/>
      <c r="G1085" s="308"/>
      <c r="H1085" s="308"/>
      <c r="I1085" s="309"/>
      <c r="J1085" s="310"/>
      <c r="K1085" s="308"/>
      <c r="L1085" s="310"/>
      <c r="M1085" s="32"/>
      <c r="N1085" s="32"/>
      <c r="O1085" s="415"/>
      <c r="P1085" s="31"/>
      <c r="Q1085" s="416"/>
      <c r="R1085" s="417"/>
      <c r="S1085" s="32"/>
      <c r="T1085" s="32"/>
      <c r="U1085" s="415"/>
      <c r="V1085" s="31"/>
      <c r="W1085" s="416"/>
      <c r="X1085" s="859"/>
      <c r="Y1085" s="308"/>
      <c r="Z1085" s="308"/>
      <c r="AA1085" s="308"/>
      <c r="AB1085" s="31">
        <f>AB1086+AB1088+AB1090</f>
        <v>50.997999999999998</v>
      </c>
      <c r="AC1085" s="416"/>
      <c r="AD1085" s="417">
        <f>AD1086+AD1088+AD1090</f>
        <v>701137.70299999998</v>
      </c>
      <c r="AE1085" s="308"/>
      <c r="AF1085" s="308"/>
      <c r="AG1085" s="308"/>
      <c r="AH1085" s="312"/>
      <c r="AI1085" s="312"/>
      <c r="AJ1085" s="313"/>
      <c r="AK1085" s="308"/>
      <c r="AL1085" s="308"/>
      <c r="AM1085" s="308"/>
      <c r="AN1085" s="312"/>
      <c r="AO1085" s="312"/>
      <c r="AP1085" s="313"/>
      <c r="AQ1085" s="308"/>
    </row>
    <row r="1086" spans="1:43" ht="19.899999999999999" customHeight="1" x14ac:dyDescent="0.25">
      <c r="A1086" s="1220">
        <v>1</v>
      </c>
      <c r="B1086" s="1142">
        <v>1960132</v>
      </c>
      <c r="C1086" s="1143" t="s">
        <v>115</v>
      </c>
      <c r="D1086" s="1668" t="s">
        <v>39</v>
      </c>
      <c r="E1086" s="1145">
        <f>41.2+39.952-41.2</f>
        <v>39.951999999999998</v>
      </c>
      <c r="F1086" s="1653">
        <f>506660+502202-506660</f>
        <v>502202</v>
      </c>
      <c r="G1086" s="418"/>
      <c r="H1086" s="418"/>
      <c r="I1086" s="418"/>
      <c r="J1086" s="419"/>
      <c r="K1086" s="418"/>
      <c r="L1086" s="419"/>
      <c r="M1086" s="56"/>
      <c r="N1086" s="56"/>
      <c r="O1086" s="206"/>
      <c r="P1086" s="914"/>
      <c r="Q1086" s="876"/>
      <c r="R1086" s="653"/>
      <c r="S1086" s="56"/>
      <c r="T1086" s="56"/>
      <c r="U1086" s="206"/>
      <c r="V1086" s="914"/>
      <c r="W1086" s="876"/>
      <c r="X1086" s="653"/>
      <c r="Y1086" s="1142" t="s">
        <v>1156</v>
      </c>
      <c r="Z1086" s="1142" t="s">
        <v>1157</v>
      </c>
      <c r="AA1086" s="1157" t="s">
        <v>7</v>
      </c>
      <c r="AB1086" s="914">
        <v>39.951999999999998</v>
      </c>
      <c r="AC1086" s="876" t="s">
        <v>2</v>
      </c>
      <c r="AD1086" s="1984">
        <v>565271.90300000005</v>
      </c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316"/>
      <c r="AQ1086" s="8"/>
    </row>
    <row r="1087" spans="1:43" ht="19.899999999999999" customHeight="1" thickBot="1" x14ac:dyDescent="0.3">
      <c r="A1087" s="1623"/>
      <c r="B1087" s="1220"/>
      <c r="C1087" s="1594"/>
      <c r="D1087" s="1669"/>
      <c r="E1087" s="1221"/>
      <c r="F1087" s="1654"/>
      <c r="G1087" s="420"/>
      <c r="H1087" s="420"/>
      <c r="I1087" s="418"/>
      <c r="J1087" s="419"/>
      <c r="K1087" s="418"/>
      <c r="L1087" s="419"/>
      <c r="M1087" s="56"/>
      <c r="N1087" s="56"/>
      <c r="O1087" s="206"/>
      <c r="P1087" s="928"/>
      <c r="Q1087" s="876"/>
      <c r="R1087" s="653"/>
      <c r="S1087" s="56"/>
      <c r="T1087" s="56"/>
      <c r="U1087" s="206"/>
      <c r="V1087" s="58"/>
      <c r="W1087" s="876"/>
      <c r="X1087" s="653"/>
      <c r="Y1087" s="1220"/>
      <c r="Z1087" s="1220"/>
      <c r="AA1087" s="1691"/>
      <c r="AB1087" s="711">
        <v>502202</v>
      </c>
      <c r="AC1087" s="879" t="s">
        <v>3</v>
      </c>
      <c r="AD1087" s="166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316"/>
      <c r="AQ1087" s="8"/>
    </row>
    <row r="1088" spans="1:43" s="23" customFormat="1" ht="19.899999999999999" customHeight="1" x14ac:dyDescent="0.25">
      <c r="A1088" s="1235">
        <v>2</v>
      </c>
      <c r="B1088" s="1289">
        <v>1960045</v>
      </c>
      <c r="C1088" s="1193" t="s">
        <v>328</v>
      </c>
      <c r="D1088" s="1289" t="s">
        <v>610</v>
      </c>
      <c r="E1088" s="1651">
        <v>10</v>
      </c>
      <c r="F1088" s="2072">
        <v>80998</v>
      </c>
      <c r="G1088" s="986"/>
      <c r="H1088" s="986"/>
      <c r="I1088" s="1052"/>
      <c r="J1088" s="190"/>
      <c r="K1088" s="886"/>
      <c r="L1088" s="235"/>
      <c r="M1088" s="221"/>
      <c r="N1088" s="221"/>
      <c r="O1088" s="222"/>
      <c r="P1088" s="236"/>
      <c r="Q1088" s="182"/>
      <c r="R1088" s="633"/>
      <c r="S1088" s="24"/>
      <c r="T1088" s="24"/>
      <c r="U1088" s="206"/>
      <c r="V1088" s="1065"/>
      <c r="W1088" s="42"/>
      <c r="X1088" s="152"/>
      <c r="Y1088" s="1999" t="s">
        <v>1245</v>
      </c>
      <c r="Z1088" s="1240" t="s">
        <v>1044</v>
      </c>
      <c r="AA1088" s="1207" t="s">
        <v>7</v>
      </c>
      <c r="AB1088" s="1064">
        <v>6.4690000000000003</v>
      </c>
      <c r="AC1088" s="182" t="s">
        <v>2</v>
      </c>
      <c r="AD1088" s="1985">
        <f>AB1088*12300</f>
        <v>79568.7</v>
      </c>
      <c r="AE1088" s="314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337"/>
      <c r="AQ1088" s="22"/>
    </row>
    <row r="1089" spans="1:43" ht="19.899999999999999" customHeight="1" thickBot="1" x14ac:dyDescent="0.3">
      <c r="A1089" s="1223"/>
      <c r="B1089" s="1254"/>
      <c r="C1089" s="1243"/>
      <c r="D1089" s="1254"/>
      <c r="E1089" s="1652"/>
      <c r="F1089" s="2073"/>
      <c r="G1089" s="575"/>
      <c r="H1089" s="575"/>
      <c r="I1089" s="576"/>
      <c r="J1089" s="577"/>
      <c r="K1089" s="575"/>
      <c r="L1089" s="577"/>
      <c r="M1089" s="252"/>
      <c r="N1089" s="252"/>
      <c r="O1089" s="279"/>
      <c r="P1089" s="278"/>
      <c r="Q1089" s="252"/>
      <c r="R1089" s="630"/>
      <c r="S1089" s="24"/>
      <c r="T1089" s="24"/>
      <c r="U1089" s="206"/>
      <c r="V1089" s="1053"/>
      <c r="W1089" s="42"/>
      <c r="X1089" s="152"/>
      <c r="Y1089" s="2074"/>
      <c r="Z1089" s="1448"/>
      <c r="AA1089" s="1691"/>
      <c r="AB1089" s="1113">
        <f>AB1088*6000</f>
        <v>38814</v>
      </c>
      <c r="AC1089" s="173" t="s">
        <v>3</v>
      </c>
      <c r="AD1089" s="1986"/>
      <c r="AE1089" s="339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</row>
    <row r="1090" spans="1:43" s="73" customFormat="1" ht="19.899999999999999" customHeight="1" x14ac:dyDescent="0.25">
      <c r="A1090" s="1235">
        <v>3</v>
      </c>
      <c r="B1090" s="1272">
        <v>1960136</v>
      </c>
      <c r="C1090" s="1193" t="s">
        <v>1189</v>
      </c>
      <c r="D1090" s="1589" t="s">
        <v>1190</v>
      </c>
      <c r="E1090" s="1325">
        <v>15.097</v>
      </c>
      <c r="F1090" s="1326">
        <v>101560</v>
      </c>
      <c r="G1090" s="968"/>
      <c r="H1090" s="968"/>
      <c r="I1090" s="1052"/>
      <c r="J1090" s="910"/>
      <c r="K1090" s="881"/>
      <c r="L1090" s="910"/>
      <c r="M1090" s="215"/>
      <c r="N1090" s="215"/>
      <c r="O1090" s="215"/>
      <c r="P1090" s="502"/>
      <c r="Q1090" s="215"/>
      <c r="R1090" s="910"/>
      <c r="S1090" s="24"/>
      <c r="T1090" s="24"/>
      <c r="U1090" s="206"/>
      <c r="V1090" s="882"/>
      <c r="W1090" s="887"/>
      <c r="X1090" s="152"/>
      <c r="Y1090" s="1948" t="s">
        <v>1243</v>
      </c>
      <c r="Z1090" s="1272" t="s">
        <v>1244</v>
      </c>
      <c r="AA1090" s="1421" t="s">
        <v>7</v>
      </c>
      <c r="AB1090" s="881">
        <v>4.577</v>
      </c>
      <c r="AC1090" s="886" t="s">
        <v>2</v>
      </c>
      <c r="AD1090" s="1663">
        <v>56297.1</v>
      </c>
      <c r="AE1090" s="650"/>
      <c r="AF1090" s="650"/>
      <c r="AG1090" s="64"/>
      <c r="AH1090" s="1073"/>
      <c r="AI1090" s="887"/>
      <c r="AJ1090" s="651"/>
      <c r="AK1090" s="466"/>
      <c r="AL1090" s="325"/>
      <c r="AM1090" s="325"/>
      <c r="AN1090" s="325"/>
      <c r="AO1090" s="325"/>
      <c r="AP1090" s="326"/>
      <c r="AQ1090" s="198"/>
    </row>
    <row r="1091" spans="1:43" s="73" customFormat="1" ht="19.899999999999999" customHeight="1" thickBot="1" x14ac:dyDescent="0.3">
      <c r="A1091" s="1224"/>
      <c r="B1091" s="1231"/>
      <c r="C1091" s="1194"/>
      <c r="D1091" s="1590"/>
      <c r="E1091" s="1239"/>
      <c r="F1091" s="1327"/>
      <c r="G1091" s="970"/>
      <c r="H1091" s="970"/>
      <c r="I1091" s="1113"/>
      <c r="J1091" s="943"/>
      <c r="K1091" s="889"/>
      <c r="L1091" s="943"/>
      <c r="M1091" s="220"/>
      <c r="N1091" s="220"/>
      <c r="O1091" s="220"/>
      <c r="P1091" s="327"/>
      <c r="Q1091" s="220"/>
      <c r="R1091" s="943"/>
      <c r="S1091" s="24"/>
      <c r="T1091" s="24"/>
      <c r="U1091" s="206"/>
      <c r="V1091" s="882"/>
      <c r="W1091" s="887"/>
      <c r="X1091" s="152"/>
      <c r="Y1091" s="1949"/>
      <c r="Z1091" s="1231"/>
      <c r="AA1091" s="1226"/>
      <c r="AB1091" s="889">
        <v>27462</v>
      </c>
      <c r="AC1091" s="888" t="s">
        <v>4</v>
      </c>
      <c r="AD1091" s="1664"/>
      <c r="AE1091" s="650"/>
      <c r="AF1091" s="650"/>
      <c r="AG1091" s="64"/>
      <c r="AH1091" s="1073"/>
      <c r="AI1091" s="887"/>
      <c r="AJ1091" s="651"/>
      <c r="AK1091" s="466"/>
      <c r="AL1091" s="325"/>
      <c r="AM1091" s="325"/>
      <c r="AN1091" s="325"/>
      <c r="AO1091" s="325"/>
      <c r="AP1091" s="326"/>
      <c r="AQ1091" s="198"/>
    </row>
    <row r="1092" spans="1:43" s="23" customFormat="1" ht="21.2" customHeight="1" x14ac:dyDescent="0.25">
      <c r="A1092" s="681"/>
      <c r="B1092" s="681"/>
      <c r="C1092" s="682"/>
      <c r="D1092" s="898"/>
      <c r="E1092" s="683"/>
      <c r="F1092" s="685"/>
      <c r="G1092" s="686"/>
      <c r="H1092" s="686"/>
      <c r="I1092" s="981"/>
      <c r="J1092" s="1137"/>
      <c r="K1092" s="898"/>
      <c r="L1092" s="527"/>
      <c r="M1092" s="1032"/>
      <c r="N1092" s="1032"/>
      <c r="O1092" s="898"/>
      <c r="P1092" s="687"/>
      <c r="Q1092" s="1110"/>
      <c r="R1092" s="972"/>
      <c r="S1092" s="1032"/>
      <c r="T1092" s="1032"/>
      <c r="U1092" s="898"/>
      <c r="V1092" s="687"/>
      <c r="W1092" s="1110"/>
      <c r="X1092" s="972"/>
      <c r="Y1092" s="887"/>
      <c r="Z1092" s="887"/>
      <c r="AA1092" s="887"/>
      <c r="AB1092" s="143"/>
      <c r="AC1092" s="42"/>
      <c r="AD1092" s="53"/>
      <c r="AE1092" s="1045"/>
      <c r="AF1092" s="1045"/>
      <c r="AG1092" s="1045"/>
      <c r="AH1092" s="1045"/>
      <c r="AI1092" s="1045"/>
      <c r="AJ1092" s="1045"/>
      <c r="AK1092" s="1045"/>
      <c r="AL1092" s="1045"/>
      <c r="AM1092" s="1045"/>
      <c r="AN1092" s="1045"/>
      <c r="AO1092" s="1045"/>
      <c r="AP1092" s="395"/>
      <c r="AQ1092" s="251"/>
    </row>
    <row r="1093" spans="1:43" ht="35.25" customHeight="1" x14ac:dyDescent="0.25">
      <c r="A1093" s="307"/>
      <c r="B1093" s="1632" t="s">
        <v>1185</v>
      </c>
      <c r="C1093" s="1632"/>
      <c r="D1093" s="1632"/>
      <c r="E1093" s="1632"/>
      <c r="F1093" s="1632"/>
      <c r="G1093" s="873"/>
      <c r="H1093" s="873"/>
      <c r="I1093" s="874"/>
      <c r="J1093" s="875"/>
      <c r="K1093" s="873"/>
      <c r="L1093" s="875"/>
      <c r="M1093" s="333"/>
      <c r="N1093" s="333"/>
      <c r="O1093" s="134"/>
      <c r="P1093" s="423"/>
      <c r="Q1093" s="424"/>
      <c r="R1093" s="425"/>
      <c r="S1093" s="333"/>
      <c r="T1093" s="333"/>
      <c r="U1093" s="134"/>
      <c r="V1093" s="423"/>
      <c r="W1093" s="424"/>
      <c r="X1093" s="425"/>
      <c r="Y1093" s="32"/>
      <c r="Z1093" s="32"/>
      <c r="AA1093" s="32"/>
      <c r="AB1093" s="423">
        <f>AB1094+AB1096+AB1098+AB1100</f>
        <v>48.234999999999999</v>
      </c>
      <c r="AC1093" s="424"/>
      <c r="AD1093" s="425">
        <f>AD1094+AD1096+AD1098+AD1100</f>
        <v>433998</v>
      </c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</row>
    <row r="1094" spans="1:43" s="48" customFormat="1" ht="21.75" customHeight="1" x14ac:dyDescent="0.25">
      <c r="A1094" s="1142">
        <v>1</v>
      </c>
      <c r="B1094" s="1220">
        <v>1960242</v>
      </c>
      <c r="C1094" s="1219" t="s">
        <v>1161</v>
      </c>
      <c r="D1094" s="1220" t="s">
        <v>559</v>
      </c>
      <c r="E1094" s="1221">
        <v>6.9</v>
      </c>
      <c r="F1094" s="1631">
        <v>41400</v>
      </c>
      <c r="G1094" s="1085"/>
      <c r="H1094" s="1085"/>
      <c r="I1094" s="1101"/>
      <c r="J1094" s="1035"/>
      <c r="K1094" s="1032"/>
      <c r="L1094" s="1035"/>
      <c r="M1094" s="56"/>
      <c r="N1094" s="56"/>
      <c r="O1094" s="206"/>
      <c r="P1094" s="914"/>
      <c r="Q1094" s="876"/>
      <c r="R1094" s="653"/>
      <c r="S1094" s="56"/>
      <c r="T1094" s="56"/>
      <c r="U1094" s="206"/>
      <c r="V1094" s="914"/>
      <c r="W1094" s="876"/>
      <c r="X1094" s="653"/>
      <c r="Y1094" s="1142" t="s">
        <v>1031</v>
      </c>
      <c r="Z1094" s="1142" t="s">
        <v>1172</v>
      </c>
      <c r="AA1094" s="1157" t="s">
        <v>7</v>
      </c>
      <c r="AB1094" s="1066">
        <v>6.9</v>
      </c>
      <c r="AC1094" s="876" t="s">
        <v>2</v>
      </c>
      <c r="AD1094" s="1984">
        <v>33000</v>
      </c>
      <c r="AE1094" s="1046"/>
      <c r="AF1094" s="1046"/>
      <c r="AG1094" s="1046"/>
      <c r="AH1094" s="1046"/>
      <c r="AI1094" s="1046"/>
      <c r="AJ1094" s="1046"/>
      <c r="AK1094" s="1046"/>
      <c r="AL1094" s="1046"/>
      <c r="AM1094" s="1046"/>
      <c r="AN1094" s="1046"/>
      <c r="AO1094" s="1046"/>
      <c r="AP1094" s="426"/>
      <c r="AQ1094" s="254"/>
    </row>
    <row r="1095" spans="1:43" s="48" customFormat="1" ht="21.75" customHeight="1" x14ac:dyDescent="0.25">
      <c r="A1095" s="1142"/>
      <c r="B1095" s="1148"/>
      <c r="C1095" s="1150"/>
      <c r="D1095" s="1148"/>
      <c r="E1095" s="1154"/>
      <c r="F1095" s="1156"/>
      <c r="G1095" s="1085"/>
      <c r="H1095" s="1085"/>
      <c r="I1095" s="1101"/>
      <c r="J1095" s="1035"/>
      <c r="K1095" s="1032"/>
      <c r="L1095" s="1035"/>
      <c r="M1095" s="56"/>
      <c r="N1095" s="56"/>
      <c r="O1095" s="206"/>
      <c r="P1095" s="928"/>
      <c r="Q1095" s="876"/>
      <c r="R1095" s="653"/>
      <c r="S1095" s="56"/>
      <c r="T1095" s="56"/>
      <c r="U1095" s="206"/>
      <c r="V1095" s="928"/>
      <c r="W1095" s="876"/>
      <c r="X1095" s="653"/>
      <c r="Y1095" s="1142"/>
      <c r="Z1095" s="1142"/>
      <c r="AA1095" s="1157"/>
      <c r="AB1095" s="1035">
        <v>41400</v>
      </c>
      <c r="AC1095" s="876" t="s">
        <v>3</v>
      </c>
      <c r="AD1095" s="1984"/>
      <c r="AE1095" s="1046"/>
      <c r="AF1095" s="1046"/>
      <c r="AG1095" s="1046"/>
      <c r="AH1095" s="1046"/>
      <c r="AI1095" s="1046"/>
      <c r="AJ1095" s="1046"/>
      <c r="AK1095" s="1046"/>
      <c r="AL1095" s="1046"/>
      <c r="AM1095" s="1046"/>
      <c r="AN1095" s="1046"/>
      <c r="AO1095" s="1046"/>
      <c r="AP1095" s="426"/>
      <c r="AQ1095" s="254"/>
    </row>
    <row r="1096" spans="1:43" s="48" customFormat="1" ht="23.25" customHeight="1" x14ac:dyDescent="0.25">
      <c r="A1096" s="1142">
        <v>2</v>
      </c>
      <c r="B1096" s="1220">
        <v>1960182</v>
      </c>
      <c r="C1096" s="1219" t="s">
        <v>1163</v>
      </c>
      <c r="D1096" s="1220" t="s">
        <v>626</v>
      </c>
      <c r="E1096" s="1221">
        <v>26.184999999999999</v>
      </c>
      <c r="F1096" s="1631">
        <v>157200</v>
      </c>
      <c r="G1096" s="1085"/>
      <c r="H1096" s="1085"/>
      <c r="I1096" s="1101"/>
      <c r="J1096" s="1035"/>
      <c r="K1096" s="1032"/>
      <c r="L1096" s="1035"/>
      <c r="M1096" s="56"/>
      <c r="N1096" s="56"/>
      <c r="O1096" s="206"/>
      <c r="P1096" s="914"/>
      <c r="Q1096" s="876"/>
      <c r="R1096" s="653"/>
      <c r="S1096" s="56"/>
      <c r="T1096" s="56"/>
      <c r="U1096" s="206"/>
      <c r="V1096" s="914"/>
      <c r="W1096" s="876"/>
      <c r="X1096" s="653"/>
      <c r="Y1096" s="1142" t="s">
        <v>1031</v>
      </c>
      <c r="Z1096" s="1142" t="s">
        <v>1175</v>
      </c>
      <c r="AA1096" s="1157" t="s">
        <v>7</v>
      </c>
      <c r="AB1096" s="1066">
        <v>26.184999999999999</v>
      </c>
      <c r="AC1096" s="876" t="s">
        <v>2</v>
      </c>
      <c r="AD1096" s="1984">
        <v>184155</v>
      </c>
      <c r="AE1096" s="1046"/>
      <c r="AF1096" s="1046"/>
      <c r="AG1096" s="1046"/>
      <c r="AH1096" s="1046"/>
      <c r="AI1096" s="1046"/>
      <c r="AJ1096" s="1046"/>
      <c r="AK1096" s="1046"/>
      <c r="AL1096" s="1046"/>
      <c r="AM1096" s="1046"/>
      <c r="AN1096" s="1046"/>
      <c r="AO1096" s="1046"/>
      <c r="AP1096" s="426"/>
      <c r="AQ1096" s="254"/>
    </row>
    <row r="1097" spans="1:43" s="48" customFormat="1" ht="23.25" customHeight="1" x14ac:dyDescent="0.25">
      <c r="A1097" s="1142"/>
      <c r="B1097" s="1148"/>
      <c r="C1097" s="1150"/>
      <c r="D1097" s="1148"/>
      <c r="E1097" s="1154"/>
      <c r="F1097" s="1156"/>
      <c r="G1097" s="1085"/>
      <c r="H1097" s="1085"/>
      <c r="I1097" s="1101"/>
      <c r="J1097" s="1035"/>
      <c r="K1097" s="1032"/>
      <c r="L1097" s="1035"/>
      <c r="M1097" s="56"/>
      <c r="N1097" s="56"/>
      <c r="O1097" s="206"/>
      <c r="P1097" s="911"/>
      <c r="Q1097" s="876"/>
      <c r="R1097" s="653"/>
      <c r="S1097" s="56"/>
      <c r="T1097" s="56"/>
      <c r="U1097" s="206"/>
      <c r="V1097" s="911"/>
      <c r="W1097" s="876"/>
      <c r="X1097" s="653"/>
      <c r="Y1097" s="1142"/>
      <c r="Z1097" s="1142"/>
      <c r="AA1097" s="1157"/>
      <c r="AB1097" s="912">
        <v>157200</v>
      </c>
      <c r="AC1097" s="876" t="s">
        <v>3</v>
      </c>
      <c r="AD1097" s="1984"/>
      <c r="AE1097" s="1046"/>
      <c r="AF1097" s="1046"/>
      <c r="AG1097" s="1046"/>
      <c r="AH1097" s="1046"/>
      <c r="AI1097" s="1046"/>
      <c r="AJ1097" s="1046"/>
      <c r="AK1097" s="1046"/>
      <c r="AL1097" s="1046"/>
      <c r="AM1097" s="1046"/>
      <c r="AN1097" s="1046"/>
      <c r="AO1097" s="1046"/>
      <c r="AP1097" s="426"/>
      <c r="AQ1097" s="254"/>
    </row>
    <row r="1098" spans="1:43" ht="23.25" customHeight="1" x14ac:dyDescent="0.25">
      <c r="A1098" s="1142">
        <v>3</v>
      </c>
      <c r="B1098" s="1220">
        <v>1960275</v>
      </c>
      <c r="C1098" s="1219" t="s">
        <v>1166</v>
      </c>
      <c r="D1098" s="1220" t="s">
        <v>826</v>
      </c>
      <c r="E1098" s="1221">
        <v>3.92</v>
      </c>
      <c r="F1098" s="1631">
        <v>23520</v>
      </c>
      <c r="G1098" s="1085"/>
      <c r="H1098" s="1085"/>
      <c r="I1098" s="1101"/>
      <c r="J1098" s="1035"/>
      <c r="K1098" s="1032"/>
      <c r="L1098" s="1035"/>
      <c r="M1098" s="56"/>
      <c r="N1098" s="56"/>
      <c r="O1098" s="206"/>
      <c r="P1098" s="914"/>
      <c r="Q1098" s="876"/>
      <c r="R1098" s="653"/>
      <c r="S1098" s="56"/>
      <c r="T1098" s="56"/>
      <c r="U1098" s="206"/>
      <c r="V1098" s="914"/>
      <c r="W1098" s="876"/>
      <c r="X1098" s="653"/>
      <c r="Y1098" s="1142" t="s">
        <v>1031</v>
      </c>
      <c r="Z1098" s="1142" t="s">
        <v>1174</v>
      </c>
      <c r="AA1098" s="1157" t="s">
        <v>7</v>
      </c>
      <c r="AB1098" s="1066">
        <v>3.92</v>
      </c>
      <c r="AC1098" s="876" t="s">
        <v>2</v>
      </c>
      <c r="AD1098" s="1984">
        <v>58500</v>
      </c>
      <c r="AE1098" s="319"/>
      <c r="AF1098" s="319"/>
      <c r="AG1098" s="319"/>
      <c r="AH1098" s="319"/>
      <c r="AI1098" s="319"/>
      <c r="AJ1098" s="319"/>
      <c r="AK1098" s="319"/>
      <c r="AL1098" s="319"/>
      <c r="AM1098" s="319"/>
      <c r="AN1098" s="319"/>
      <c r="AO1098" s="319"/>
      <c r="AP1098" s="320"/>
      <c r="AQ1098" s="63"/>
    </row>
    <row r="1099" spans="1:43" ht="23.25" customHeight="1" x14ac:dyDescent="0.25">
      <c r="A1099" s="1142"/>
      <c r="B1099" s="1623"/>
      <c r="C1099" s="1150"/>
      <c r="D1099" s="1623"/>
      <c r="E1099" s="1344"/>
      <c r="F1099" s="1650"/>
      <c r="G1099" s="1057"/>
      <c r="H1099" s="1057"/>
      <c r="I1099" s="981"/>
      <c r="J1099" s="912"/>
      <c r="K1099" s="944"/>
      <c r="L1099" s="912"/>
      <c r="M1099" s="56"/>
      <c r="N1099" s="56"/>
      <c r="O1099" s="206"/>
      <c r="P1099" s="911"/>
      <c r="Q1099" s="876"/>
      <c r="R1099" s="653"/>
      <c r="S1099" s="56"/>
      <c r="T1099" s="56"/>
      <c r="U1099" s="206"/>
      <c r="V1099" s="911"/>
      <c r="W1099" s="876"/>
      <c r="X1099" s="653"/>
      <c r="Y1099" s="1142"/>
      <c r="Z1099" s="1142"/>
      <c r="AA1099" s="1157"/>
      <c r="AB1099" s="912">
        <v>23520</v>
      </c>
      <c r="AC1099" s="876" t="s">
        <v>3</v>
      </c>
      <c r="AD1099" s="1984"/>
      <c r="AE1099" s="319"/>
      <c r="AF1099" s="319"/>
      <c r="AG1099" s="319"/>
      <c r="AH1099" s="319"/>
      <c r="AI1099" s="319"/>
      <c r="AJ1099" s="319"/>
      <c r="AK1099" s="319"/>
      <c r="AL1099" s="319"/>
      <c r="AM1099" s="319"/>
      <c r="AN1099" s="319"/>
      <c r="AO1099" s="319"/>
      <c r="AP1099" s="320"/>
      <c r="AQ1099" s="63"/>
    </row>
    <row r="1100" spans="1:43" ht="23.25" customHeight="1" x14ac:dyDescent="0.25">
      <c r="A1100" s="1142">
        <v>4</v>
      </c>
      <c r="B1100" s="1218">
        <v>1960003</v>
      </c>
      <c r="C1100" s="1217" t="s">
        <v>1176</v>
      </c>
      <c r="D1100" s="1216" t="s">
        <v>42</v>
      </c>
      <c r="E1100" s="1215">
        <v>45.325000000000003</v>
      </c>
      <c r="F1100" s="1222">
        <v>723355</v>
      </c>
      <c r="G1100" s="427"/>
      <c r="H1100" s="427"/>
      <c r="I1100" s="981"/>
      <c r="J1100" s="912"/>
      <c r="K1100" s="944"/>
      <c r="L1100" s="912"/>
      <c r="M1100" s="56"/>
      <c r="N1100" s="56"/>
      <c r="O1100" s="206"/>
      <c r="P1100" s="57"/>
      <c r="Q1100" s="876"/>
      <c r="R1100" s="653"/>
      <c r="S1100" s="56"/>
      <c r="T1100" s="56"/>
      <c r="U1100" s="206"/>
      <c r="V1100" s="57"/>
      <c r="W1100" s="876"/>
      <c r="X1100" s="653"/>
      <c r="Y1100" s="1142" t="s">
        <v>1177</v>
      </c>
      <c r="Z1100" s="1659" t="s">
        <v>1178</v>
      </c>
      <c r="AA1100" s="1157" t="s">
        <v>7</v>
      </c>
      <c r="AB1100" s="428">
        <f>0.762+11.935-0.489-0.978</f>
        <v>11.23</v>
      </c>
      <c r="AC1100" s="876" t="s">
        <v>2</v>
      </c>
      <c r="AD1100" s="1661">
        <f>AB1100*14100</f>
        <v>158343</v>
      </c>
      <c r="AE1100" s="319"/>
      <c r="AF1100" s="319"/>
      <c r="AG1100" s="319"/>
      <c r="AH1100" s="319"/>
      <c r="AI1100" s="319"/>
      <c r="AJ1100" s="319"/>
      <c r="AK1100" s="319"/>
      <c r="AL1100" s="319"/>
      <c r="AM1100" s="319"/>
      <c r="AN1100" s="319"/>
      <c r="AO1100" s="319"/>
      <c r="AP1100" s="320"/>
      <c r="AQ1100" s="63"/>
    </row>
    <row r="1101" spans="1:43" ht="23.25" customHeight="1" x14ac:dyDescent="0.25">
      <c r="A1101" s="1142"/>
      <c r="B1101" s="1218"/>
      <c r="C1101" s="1217"/>
      <c r="D1101" s="1216"/>
      <c r="E1101" s="1215"/>
      <c r="F1101" s="1222"/>
      <c r="G1101" s="427"/>
      <c r="H1101" s="427"/>
      <c r="I1101" s="981"/>
      <c r="J1101" s="912"/>
      <c r="K1101" s="944"/>
      <c r="L1101" s="912"/>
      <c r="M1101" s="56"/>
      <c r="N1101" s="56"/>
      <c r="O1101" s="206"/>
      <c r="P1101" s="260"/>
      <c r="Q1101" s="876"/>
      <c r="R1101" s="653"/>
      <c r="S1101" s="56"/>
      <c r="T1101" s="56"/>
      <c r="U1101" s="206"/>
      <c r="V1101" s="260"/>
      <c r="W1101" s="876"/>
      <c r="X1101" s="653"/>
      <c r="Y1101" s="1142"/>
      <c r="Z1101" s="1660"/>
      <c r="AA1101" s="1157"/>
      <c r="AB1101" s="429">
        <f>AB1100*8000</f>
        <v>89840</v>
      </c>
      <c r="AC1101" s="876" t="s">
        <v>3</v>
      </c>
      <c r="AD1101" s="1662"/>
      <c r="AE1101" s="319"/>
      <c r="AF1101" s="319"/>
      <c r="AG1101" s="319"/>
      <c r="AH1101" s="319"/>
      <c r="AI1101" s="319"/>
      <c r="AJ1101" s="319"/>
      <c r="AK1101" s="319"/>
      <c r="AL1101" s="319"/>
      <c r="AM1101" s="319"/>
      <c r="AN1101" s="319"/>
      <c r="AO1101" s="319"/>
      <c r="AP1101" s="320"/>
      <c r="AQ1101" s="63"/>
    </row>
    <row r="1102" spans="1:43" s="48" customFormat="1" ht="20.25" customHeight="1" x14ac:dyDescent="0.25">
      <c r="A1102" s="253"/>
      <c r="B1102" s="1032"/>
      <c r="C1102" s="430"/>
      <c r="D1102" s="431"/>
      <c r="E1102" s="1066"/>
      <c r="F1102" s="1066"/>
      <c r="G1102" s="1085"/>
      <c r="H1102" s="1085"/>
      <c r="I1102" s="1101"/>
      <c r="J1102" s="1035"/>
      <c r="K1102" s="1032"/>
      <c r="L1102" s="1035"/>
      <c r="M1102" s="1032"/>
      <c r="N1102" s="1032"/>
      <c r="O1102" s="907"/>
      <c r="P1102" s="1035"/>
      <c r="Q1102" s="1032"/>
      <c r="R1102" s="1035"/>
      <c r="S1102" s="1032"/>
      <c r="T1102" s="1032"/>
      <c r="U1102" s="907"/>
      <c r="V1102" s="1035"/>
      <c r="W1102" s="1032"/>
      <c r="X1102" s="1035"/>
      <c r="Y1102" s="1046"/>
      <c r="Z1102" s="1046"/>
      <c r="AA1102" s="1046"/>
      <c r="AB1102" s="1046"/>
      <c r="AC1102" s="1046"/>
      <c r="AD1102" s="1046"/>
      <c r="AE1102" s="1046"/>
      <c r="AF1102" s="1046"/>
      <c r="AG1102" s="1046"/>
      <c r="AH1102" s="1046"/>
      <c r="AI1102" s="1046"/>
      <c r="AJ1102" s="1046"/>
      <c r="AK1102" s="1046"/>
      <c r="AL1102" s="1046"/>
      <c r="AM1102" s="1046"/>
      <c r="AN1102" s="1046"/>
      <c r="AO1102" s="1046"/>
      <c r="AP1102" s="426"/>
      <c r="AQ1102" s="254"/>
    </row>
    <row r="1103" spans="1:43" ht="31.15" customHeight="1" x14ac:dyDescent="0.25">
      <c r="A1103" s="1586" t="s">
        <v>1144</v>
      </c>
      <c r="B1103" s="1587"/>
      <c r="C1103" s="1587"/>
      <c r="D1103" s="1588"/>
      <c r="E1103" s="432"/>
      <c r="F1103" s="432"/>
      <c r="G1103" s="432"/>
      <c r="H1103" s="432"/>
      <c r="I1103" s="433"/>
      <c r="J1103" s="434"/>
      <c r="K1103" s="435"/>
      <c r="L1103" s="436"/>
      <c r="M1103" s="437"/>
      <c r="N1103" s="438"/>
      <c r="O1103" s="433"/>
      <c r="P1103" s="434">
        <f>P1093+P1085</f>
        <v>0</v>
      </c>
      <c r="Q1103" s="435"/>
      <c r="R1103" s="528">
        <f>R1085+R1093</f>
        <v>0</v>
      </c>
      <c r="S1103" s="437"/>
      <c r="T1103" s="438"/>
      <c r="U1103" s="433"/>
      <c r="V1103" s="434">
        <f>V1093+V1085</f>
        <v>0</v>
      </c>
      <c r="W1103" s="435"/>
      <c r="X1103" s="528">
        <f>X1085+X1093</f>
        <v>0</v>
      </c>
      <c r="Y1103" s="440"/>
      <c r="Z1103" s="439"/>
      <c r="AA1103" s="439"/>
      <c r="AB1103" s="434">
        <f>AB1093+AB1085</f>
        <v>99.233000000000004</v>
      </c>
      <c r="AC1103" s="435"/>
      <c r="AD1103" s="528">
        <f>AD1085+AD1093</f>
        <v>1135135.703</v>
      </c>
      <c r="AE1103" s="441"/>
      <c r="AF1103" s="439"/>
      <c r="AG1103" s="439"/>
      <c r="AH1103" s="442"/>
      <c r="AI1103" s="439"/>
      <c r="AJ1103" s="441"/>
      <c r="AK1103" s="441"/>
      <c r="AL1103" s="439"/>
      <c r="AM1103" s="439"/>
      <c r="AN1103" s="442"/>
      <c r="AO1103" s="439"/>
      <c r="AP1103" s="443"/>
      <c r="AQ1103" s="80"/>
    </row>
    <row r="1104" spans="1:43" s="4" customFormat="1" ht="21" customHeight="1" x14ac:dyDescent="0.25">
      <c r="A1104" s="1655" t="s">
        <v>1145</v>
      </c>
      <c r="B1104" s="1655"/>
      <c r="C1104" s="1655"/>
      <c r="D1104" s="1655"/>
      <c r="E1104" s="1655"/>
      <c r="F1104" s="1655"/>
      <c r="G1104" s="1655"/>
      <c r="H1104" s="1656"/>
      <c r="I1104" s="1629" t="s">
        <v>7</v>
      </c>
      <c r="J1104" s="128"/>
      <c r="K1104" s="129" t="s">
        <v>2</v>
      </c>
      <c r="L1104" s="1613"/>
      <c r="M1104" s="130"/>
      <c r="N1104" s="130"/>
      <c r="O1104" s="1629" t="s">
        <v>7</v>
      </c>
      <c r="P1104" s="255">
        <f>P1103</f>
        <v>0</v>
      </c>
      <c r="Q1104" s="129" t="s">
        <v>2</v>
      </c>
      <c r="R1104" s="1613">
        <f>R1103</f>
        <v>0</v>
      </c>
      <c r="S1104" s="130"/>
      <c r="T1104" s="130"/>
      <c r="U1104" s="1629" t="s">
        <v>7</v>
      </c>
      <c r="V1104" s="255">
        <f>V1103</f>
        <v>0</v>
      </c>
      <c r="W1104" s="129" t="s">
        <v>2</v>
      </c>
      <c r="X1104" s="1613">
        <f>X1103</f>
        <v>0</v>
      </c>
      <c r="Y1104" s="130"/>
      <c r="Z1104" s="130"/>
      <c r="AA1104" s="1629" t="s">
        <v>7</v>
      </c>
      <c r="AB1104" s="255">
        <f>AB1103</f>
        <v>99.233000000000004</v>
      </c>
      <c r="AC1104" s="129" t="s">
        <v>2</v>
      </c>
      <c r="AD1104" s="1613">
        <f>AD1103</f>
        <v>1135135.703</v>
      </c>
      <c r="AE1104" s="130"/>
      <c r="AF1104" s="130"/>
      <c r="AG1104" s="1629" t="s">
        <v>7</v>
      </c>
      <c r="AH1104" s="128"/>
      <c r="AI1104" s="129" t="s">
        <v>2</v>
      </c>
      <c r="AJ1104" s="1613"/>
      <c r="AK1104" s="130"/>
      <c r="AL1104" s="130"/>
      <c r="AM1104" s="1629" t="s">
        <v>7</v>
      </c>
      <c r="AN1104" s="128"/>
      <c r="AO1104" s="129" t="s">
        <v>2</v>
      </c>
      <c r="AP1104" s="1613"/>
      <c r="AQ1104" s="130"/>
    </row>
    <row r="1105" spans="1:43" s="4" customFormat="1" ht="21" customHeight="1" x14ac:dyDescent="0.25">
      <c r="A1105" s="1657"/>
      <c r="B1105" s="1657"/>
      <c r="C1105" s="1657"/>
      <c r="D1105" s="1657"/>
      <c r="E1105" s="1657"/>
      <c r="F1105" s="1657"/>
      <c r="G1105" s="1657"/>
      <c r="H1105" s="1658"/>
      <c r="I1105" s="1630"/>
      <c r="J1105" s="128"/>
      <c r="K1105" s="129" t="s">
        <v>4</v>
      </c>
      <c r="L1105" s="1614"/>
      <c r="M1105" s="130"/>
      <c r="N1105" s="130"/>
      <c r="O1105" s="1630"/>
      <c r="P1105" s="255">
        <f>P1087+P1095+P1097+P1099+P1101</f>
        <v>0</v>
      </c>
      <c r="Q1105" s="129" t="s">
        <v>4</v>
      </c>
      <c r="R1105" s="1614"/>
      <c r="S1105" s="130"/>
      <c r="T1105" s="130"/>
      <c r="U1105" s="1630"/>
      <c r="V1105" s="697">
        <f>V1087+V1095+V1097+V1099+V1101+V1089+V1091</f>
        <v>0</v>
      </c>
      <c r="W1105" s="129" t="s">
        <v>4</v>
      </c>
      <c r="X1105" s="1614"/>
      <c r="Y1105" s="130"/>
      <c r="Z1105" s="130"/>
      <c r="AA1105" s="1630"/>
      <c r="AB1105" s="697">
        <f>AB1087+AB1095+AB1097+AB1099+AB1101+AB1089+AB1091</f>
        <v>880438</v>
      </c>
      <c r="AC1105" s="129" t="s">
        <v>4</v>
      </c>
      <c r="AD1105" s="1614"/>
      <c r="AE1105" s="130"/>
      <c r="AF1105" s="130"/>
      <c r="AG1105" s="1630"/>
      <c r="AH1105" s="128"/>
      <c r="AI1105" s="129" t="s">
        <v>4</v>
      </c>
      <c r="AJ1105" s="1614"/>
      <c r="AK1105" s="130"/>
      <c r="AL1105" s="130"/>
      <c r="AM1105" s="1630"/>
      <c r="AN1105" s="128"/>
      <c r="AO1105" s="129" t="s">
        <v>4</v>
      </c>
      <c r="AP1105" s="1614"/>
      <c r="AQ1105" s="130"/>
    </row>
    <row r="1106" spans="1:43" s="4" customFormat="1" ht="14.1" customHeight="1" x14ac:dyDescent="0.25">
      <c r="A1106" s="1657"/>
      <c r="B1106" s="1657"/>
      <c r="C1106" s="1657"/>
      <c r="D1106" s="1657"/>
      <c r="E1106" s="1657"/>
      <c r="F1106" s="1657"/>
      <c r="G1106" s="1657"/>
      <c r="H1106" s="1658"/>
      <c r="I1106" s="1629" t="s">
        <v>29</v>
      </c>
      <c r="J1106" s="128"/>
      <c r="K1106" s="129" t="s">
        <v>2</v>
      </c>
      <c r="L1106" s="1613"/>
      <c r="M1106" s="130"/>
      <c r="N1106" s="130"/>
      <c r="O1106" s="1629" t="s">
        <v>29</v>
      </c>
      <c r="P1106" s="128"/>
      <c r="Q1106" s="129" t="s">
        <v>2</v>
      </c>
      <c r="R1106" s="1613"/>
      <c r="S1106" s="130"/>
      <c r="T1106" s="130"/>
      <c r="U1106" s="1629" t="s">
        <v>29</v>
      </c>
      <c r="V1106" s="128"/>
      <c r="W1106" s="129" t="s">
        <v>2</v>
      </c>
      <c r="X1106" s="1613"/>
      <c r="Y1106" s="130"/>
      <c r="Z1106" s="130"/>
      <c r="AA1106" s="1629" t="s">
        <v>29</v>
      </c>
      <c r="AB1106" s="128"/>
      <c r="AC1106" s="129" t="s">
        <v>2</v>
      </c>
      <c r="AD1106" s="1613"/>
      <c r="AE1106" s="130"/>
      <c r="AF1106" s="130"/>
      <c r="AG1106" s="1629" t="s">
        <v>29</v>
      </c>
      <c r="AH1106" s="128"/>
      <c r="AI1106" s="129" t="s">
        <v>2</v>
      </c>
      <c r="AJ1106" s="1613"/>
      <c r="AK1106" s="130"/>
      <c r="AL1106" s="130"/>
      <c r="AM1106" s="1629" t="s">
        <v>29</v>
      </c>
      <c r="AN1106" s="128"/>
      <c r="AO1106" s="129" t="s">
        <v>2</v>
      </c>
      <c r="AP1106" s="1613"/>
      <c r="AQ1106" s="130"/>
    </row>
    <row r="1107" spans="1:43" s="4" customFormat="1" ht="14.1" customHeight="1" x14ac:dyDescent="0.25">
      <c r="A1107" s="1657"/>
      <c r="B1107" s="1657"/>
      <c r="C1107" s="1657"/>
      <c r="D1107" s="1657"/>
      <c r="E1107" s="1657"/>
      <c r="F1107" s="1657"/>
      <c r="G1107" s="1657"/>
      <c r="H1107" s="1658"/>
      <c r="I1107" s="1630"/>
      <c r="J1107" s="128"/>
      <c r="K1107" s="129" t="s">
        <v>4</v>
      </c>
      <c r="L1107" s="1614"/>
      <c r="M1107" s="130"/>
      <c r="N1107" s="130"/>
      <c r="O1107" s="1630"/>
      <c r="P1107" s="128"/>
      <c r="Q1107" s="129" t="s">
        <v>4</v>
      </c>
      <c r="R1107" s="1614"/>
      <c r="S1107" s="130"/>
      <c r="T1107" s="130"/>
      <c r="U1107" s="1630"/>
      <c r="V1107" s="128"/>
      <c r="W1107" s="129" t="s">
        <v>4</v>
      </c>
      <c r="X1107" s="1614"/>
      <c r="Y1107" s="130"/>
      <c r="Z1107" s="130"/>
      <c r="AA1107" s="1630"/>
      <c r="AB1107" s="128"/>
      <c r="AC1107" s="129" t="s">
        <v>4</v>
      </c>
      <c r="AD1107" s="1614"/>
      <c r="AE1107" s="130"/>
      <c r="AF1107" s="130"/>
      <c r="AG1107" s="1630"/>
      <c r="AH1107" s="128"/>
      <c r="AI1107" s="129" t="s">
        <v>4</v>
      </c>
      <c r="AJ1107" s="1614"/>
      <c r="AK1107" s="130"/>
      <c r="AL1107" s="130"/>
      <c r="AM1107" s="1630"/>
      <c r="AN1107" s="128"/>
      <c r="AO1107" s="129" t="s">
        <v>4</v>
      </c>
      <c r="AP1107" s="1614"/>
      <c r="AQ1107" s="130"/>
    </row>
    <row r="1108" spans="1:43" s="4" customFormat="1" ht="14.1" customHeight="1" x14ac:dyDescent="0.25">
      <c r="A1108" s="1657"/>
      <c r="B1108" s="1657"/>
      <c r="C1108" s="1657"/>
      <c r="D1108" s="1657"/>
      <c r="E1108" s="1657"/>
      <c r="F1108" s="1657"/>
      <c r="G1108" s="1657"/>
      <c r="H1108" s="1658"/>
      <c r="I1108" s="1629" t="s">
        <v>30</v>
      </c>
      <c r="J1108" s="128"/>
      <c r="K1108" s="129" t="s">
        <v>2</v>
      </c>
      <c r="L1108" s="1613"/>
      <c r="M1108" s="130"/>
      <c r="N1108" s="130"/>
      <c r="O1108" s="1629" t="s">
        <v>30</v>
      </c>
      <c r="P1108" s="128"/>
      <c r="Q1108" s="129" t="s">
        <v>2</v>
      </c>
      <c r="R1108" s="1613"/>
      <c r="S1108" s="130"/>
      <c r="T1108" s="130"/>
      <c r="U1108" s="1629" t="s">
        <v>30</v>
      </c>
      <c r="V1108" s="128"/>
      <c r="W1108" s="129" t="s">
        <v>2</v>
      </c>
      <c r="X1108" s="1613"/>
      <c r="Y1108" s="130"/>
      <c r="Z1108" s="130"/>
      <c r="AA1108" s="1629" t="s">
        <v>30</v>
      </c>
      <c r="AB1108" s="128"/>
      <c r="AC1108" s="129" t="s">
        <v>2</v>
      </c>
      <c r="AD1108" s="1613"/>
      <c r="AE1108" s="130"/>
      <c r="AF1108" s="130"/>
      <c r="AG1108" s="1629" t="s">
        <v>30</v>
      </c>
      <c r="AH1108" s="128"/>
      <c r="AI1108" s="129" t="s">
        <v>2</v>
      </c>
      <c r="AJ1108" s="1613"/>
      <c r="AK1108" s="130"/>
      <c r="AL1108" s="130"/>
      <c r="AM1108" s="1629" t="s">
        <v>30</v>
      </c>
      <c r="AN1108" s="128"/>
      <c r="AO1108" s="129" t="s">
        <v>2</v>
      </c>
      <c r="AP1108" s="1613"/>
      <c r="AQ1108" s="130"/>
    </row>
    <row r="1109" spans="1:43" s="4" customFormat="1" ht="14.1" customHeight="1" x14ac:dyDescent="0.25">
      <c r="A1109" s="1657"/>
      <c r="B1109" s="1657"/>
      <c r="C1109" s="1657"/>
      <c r="D1109" s="1657"/>
      <c r="E1109" s="1657"/>
      <c r="F1109" s="1657"/>
      <c r="G1109" s="1657"/>
      <c r="H1109" s="1658"/>
      <c r="I1109" s="1630"/>
      <c r="J1109" s="128"/>
      <c r="K1109" s="129" t="s">
        <v>4</v>
      </c>
      <c r="L1109" s="1614"/>
      <c r="M1109" s="130"/>
      <c r="N1109" s="130"/>
      <c r="O1109" s="1630"/>
      <c r="P1109" s="128"/>
      <c r="Q1109" s="129" t="s">
        <v>4</v>
      </c>
      <c r="R1109" s="1614"/>
      <c r="S1109" s="130"/>
      <c r="T1109" s="130"/>
      <c r="U1109" s="1630"/>
      <c r="V1109" s="128"/>
      <c r="W1109" s="129" t="s">
        <v>4</v>
      </c>
      <c r="X1109" s="1614"/>
      <c r="Y1109" s="130"/>
      <c r="Z1109" s="130"/>
      <c r="AA1109" s="1630"/>
      <c r="AB1109" s="128"/>
      <c r="AC1109" s="129" t="s">
        <v>4</v>
      </c>
      <c r="AD1109" s="1614"/>
      <c r="AE1109" s="130"/>
      <c r="AF1109" s="130"/>
      <c r="AG1109" s="1630"/>
      <c r="AH1109" s="128"/>
      <c r="AI1109" s="129" t="s">
        <v>4</v>
      </c>
      <c r="AJ1109" s="1614"/>
      <c r="AK1109" s="130"/>
      <c r="AL1109" s="130"/>
      <c r="AM1109" s="1630"/>
      <c r="AN1109" s="128"/>
      <c r="AO1109" s="129" t="s">
        <v>4</v>
      </c>
      <c r="AP1109" s="1614"/>
      <c r="AQ1109" s="130"/>
    </row>
    <row r="1110" spans="1:43" s="4" customFormat="1" ht="14.1" customHeight="1" x14ac:dyDescent="0.25">
      <c r="A1110" s="1657"/>
      <c r="B1110" s="1657"/>
      <c r="C1110" s="1657"/>
      <c r="D1110" s="1657"/>
      <c r="E1110" s="1657"/>
      <c r="F1110" s="1657"/>
      <c r="G1110" s="1657"/>
      <c r="H1110" s="1658"/>
      <c r="I1110" s="1629" t="s">
        <v>31</v>
      </c>
      <c r="J1110" s="128"/>
      <c r="K1110" s="129" t="s">
        <v>2</v>
      </c>
      <c r="L1110" s="1613"/>
      <c r="M1110" s="130"/>
      <c r="N1110" s="130"/>
      <c r="O1110" s="1629" t="s">
        <v>31</v>
      </c>
      <c r="P1110" s="128"/>
      <c r="Q1110" s="129" t="s">
        <v>2</v>
      </c>
      <c r="R1110" s="1613"/>
      <c r="S1110" s="130"/>
      <c r="T1110" s="130"/>
      <c r="U1110" s="1629" t="s">
        <v>31</v>
      </c>
      <c r="V1110" s="128"/>
      <c r="W1110" s="129" t="s">
        <v>2</v>
      </c>
      <c r="X1110" s="1613"/>
      <c r="Y1110" s="130"/>
      <c r="Z1110" s="130"/>
      <c r="AA1110" s="1629" t="s">
        <v>31</v>
      </c>
      <c r="AB1110" s="128"/>
      <c r="AC1110" s="129" t="s">
        <v>2</v>
      </c>
      <c r="AD1110" s="1613"/>
      <c r="AE1110" s="130"/>
      <c r="AF1110" s="130"/>
      <c r="AG1110" s="1629" t="s">
        <v>31</v>
      </c>
      <c r="AH1110" s="128"/>
      <c r="AI1110" s="129" t="s">
        <v>2</v>
      </c>
      <c r="AJ1110" s="1613"/>
      <c r="AK1110" s="130"/>
      <c r="AL1110" s="130"/>
      <c r="AM1110" s="1629" t="s">
        <v>31</v>
      </c>
      <c r="AN1110" s="128"/>
      <c r="AO1110" s="129" t="s">
        <v>2</v>
      </c>
      <c r="AP1110" s="1613"/>
      <c r="AQ1110" s="130"/>
    </row>
    <row r="1111" spans="1:43" s="4" customFormat="1" ht="14.1" customHeight="1" x14ac:dyDescent="0.25">
      <c r="A1111" s="1657"/>
      <c r="B1111" s="1657"/>
      <c r="C1111" s="1657"/>
      <c r="D1111" s="1657"/>
      <c r="E1111" s="1657"/>
      <c r="F1111" s="1657"/>
      <c r="G1111" s="1657"/>
      <c r="H1111" s="1658"/>
      <c r="I1111" s="1630"/>
      <c r="J1111" s="128"/>
      <c r="K1111" s="129" t="s">
        <v>4</v>
      </c>
      <c r="L1111" s="1614"/>
      <c r="M1111" s="130"/>
      <c r="N1111" s="130"/>
      <c r="O1111" s="1630"/>
      <c r="P1111" s="128"/>
      <c r="Q1111" s="129" t="s">
        <v>4</v>
      </c>
      <c r="R1111" s="1614"/>
      <c r="S1111" s="130"/>
      <c r="T1111" s="130"/>
      <c r="U1111" s="1630"/>
      <c r="V1111" s="128"/>
      <c r="W1111" s="129" t="s">
        <v>4</v>
      </c>
      <c r="X1111" s="1614"/>
      <c r="Y1111" s="130"/>
      <c r="Z1111" s="130"/>
      <c r="AA1111" s="1630"/>
      <c r="AB1111" s="128"/>
      <c r="AC1111" s="129" t="s">
        <v>4</v>
      </c>
      <c r="AD1111" s="1614"/>
      <c r="AE1111" s="130"/>
      <c r="AF1111" s="130"/>
      <c r="AG1111" s="1630"/>
      <c r="AH1111" s="128"/>
      <c r="AI1111" s="129" t="s">
        <v>4</v>
      </c>
      <c r="AJ1111" s="1614"/>
      <c r="AK1111" s="130"/>
      <c r="AL1111" s="130"/>
      <c r="AM1111" s="1630"/>
      <c r="AN1111" s="128"/>
      <c r="AO1111" s="129" t="s">
        <v>4</v>
      </c>
      <c r="AP1111" s="1614"/>
      <c r="AQ1111" s="130"/>
    </row>
    <row r="1112" spans="1:43" s="4" customFormat="1" ht="14.1" customHeight="1" x14ac:dyDescent="0.25">
      <c r="A1112" s="1657"/>
      <c r="B1112" s="1657"/>
      <c r="C1112" s="1657"/>
      <c r="D1112" s="1657"/>
      <c r="E1112" s="1657"/>
      <c r="F1112" s="1657"/>
      <c r="G1112" s="1657"/>
      <c r="H1112" s="1658"/>
      <c r="I1112" s="1629" t="s">
        <v>1126</v>
      </c>
      <c r="J1112" s="128"/>
      <c r="K1112" s="129" t="s">
        <v>1132</v>
      </c>
      <c r="L1112" s="1613"/>
      <c r="M1112" s="130"/>
      <c r="N1112" s="130"/>
      <c r="O1112" s="1629" t="s">
        <v>1126</v>
      </c>
      <c r="P1112" s="128"/>
      <c r="Q1112" s="129" t="s">
        <v>1132</v>
      </c>
      <c r="R1112" s="1613"/>
      <c r="S1112" s="130"/>
      <c r="T1112" s="130"/>
      <c r="U1112" s="1629" t="s">
        <v>1126</v>
      </c>
      <c r="V1112" s="128"/>
      <c r="W1112" s="129" t="s">
        <v>1132</v>
      </c>
      <c r="X1112" s="1613"/>
      <c r="Y1112" s="130"/>
      <c r="Z1112" s="130"/>
      <c r="AA1112" s="1629" t="s">
        <v>1126</v>
      </c>
      <c r="AB1112" s="128"/>
      <c r="AC1112" s="129" t="s">
        <v>1132</v>
      </c>
      <c r="AD1112" s="1613"/>
      <c r="AE1112" s="130"/>
      <c r="AF1112" s="130"/>
      <c r="AG1112" s="1629" t="s">
        <v>1126</v>
      </c>
      <c r="AH1112" s="128"/>
      <c r="AI1112" s="129" t="s">
        <v>1132</v>
      </c>
      <c r="AJ1112" s="1613"/>
      <c r="AK1112" s="130"/>
      <c r="AL1112" s="130"/>
      <c r="AM1112" s="1629" t="s">
        <v>1126</v>
      </c>
      <c r="AN1112" s="128"/>
      <c r="AO1112" s="129" t="s">
        <v>1132</v>
      </c>
      <c r="AP1112" s="1613"/>
      <c r="AQ1112" s="130"/>
    </row>
    <row r="1113" spans="1:43" s="4" customFormat="1" ht="14.1" customHeight="1" x14ac:dyDescent="0.25">
      <c r="A1113" s="1657"/>
      <c r="B1113" s="1657"/>
      <c r="C1113" s="1657"/>
      <c r="D1113" s="1657"/>
      <c r="E1113" s="1657"/>
      <c r="F1113" s="1657"/>
      <c r="G1113" s="1657"/>
      <c r="H1113" s="1658"/>
      <c r="I1113" s="1649"/>
      <c r="J1113" s="128"/>
      <c r="K1113" s="129" t="s">
        <v>2</v>
      </c>
      <c r="L1113" s="1614"/>
      <c r="M1113" s="130"/>
      <c r="N1113" s="130"/>
      <c r="O1113" s="1649"/>
      <c r="P1113" s="128"/>
      <c r="Q1113" s="129" t="s">
        <v>2</v>
      </c>
      <c r="R1113" s="1614"/>
      <c r="S1113" s="130"/>
      <c r="T1113" s="130"/>
      <c r="U1113" s="1649"/>
      <c r="V1113" s="128"/>
      <c r="W1113" s="129" t="s">
        <v>2</v>
      </c>
      <c r="X1113" s="1614"/>
      <c r="Y1113" s="130"/>
      <c r="Z1113" s="130"/>
      <c r="AA1113" s="1649"/>
      <c r="AB1113" s="128"/>
      <c r="AC1113" s="129" t="s">
        <v>2</v>
      </c>
      <c r="AD1113" s="1614"/>
      <c r="AE1113" s="130"/>
      <c r="AF1113" s="130"/>
      <c r="AG1113" s="1649"/>
      <c r="AH1113" s="128"/>
      <c r="AI1113" s="129" t="s">
        <v>2</v>
      </c>
      <c r="AJ1113" s="1614"/>
      <c r="AK1113" s="130"/>
      <c r="AL1113" s="130"/>
      <c r="AM1113" s="1649"/>
      <c r="AN1113" s="128"/>
      <c r="AO1113" s="129" t="s">
        <v>2</v>
      </c>
      <c r="AP1113" s="1614"/>
      <c r="AQ1113" s="130"/>
    </row>
    <row r="1114" spans="1:43" s="4" customFormat="1" ht="16.149999999999999" customHeight="1" x14ac:dyDescent="0.25">
      <c r="A1114" s="1657"/>
      <c r="B1114" s="1657"/>
      <c r="C1114" s="1657"/>
      <c r="D1114" s="1657"/>
      <c r="E1114" s="1657"/>
      <c r="F1114" s="1657"/>
      <c r="G1114" s="1657"/>
      <c r="H1114" s="1658"/>
      <c r="I1114" s="1630"/>
      <c r="J1114" s="128"/>
      <c r="K1114" s="129" t="s">
        <v>4</v>
      </c>
      <c r="L1114" s="1615"/>
      <c r="M1114" s="130"/>
      <c r="N1114" s="130"/>
      <c r="O1114" s="1630"/>
      <c r="P1114" s="128"/>
      <c r="Q1114" s="129" t="s">
        <v>4</v>
      </c>
      <c r="R1114" s="1615"/>
      <c r="S1114" s="130"/>
      <c r="T1114" s="130"/>
      <c r="U1114" s="1630"/>
      <c r="V1114" s="128"/>
      <c r="W1114" s="129" t="s">
        <v>4</v>
      </c>
      <c r="X1114" s="1615"/>
      <c r="Y1114" s="130"/>
      <c r="Z1114" s="130"/>
      <c r="AA1114" s="1630"/>
      <c r="AB1114" s="128"/>
      <c r="AC1114" s="129" t="s">
        <v>4</v>
      </c>
      <c r="AD1114" s="1615"/>
      <c r="AE1114" s="130"/>
      <c r="AF1114" s="130"/>
      <c r="AG1114" s="1630"/>
      <c r="AH1114" s="128"/>
      <c r="AI1114" s="129" t="s">
        <v>4</v>
      </c>
      <c r="AJ1114" s="1615"/>
      <c r="AK1114" s="130"/>
      <c r="AL1114" s="130"/>
      <c r="AM1114" s="1630"/>
      <c r="AN1114" s="128"/>
      <c r="AO1114" s="129" t="s">
        <v>4</v>
      </c>
      <c r="AP1114" s="1615"/>
      <c r="AQ1114" s="130"/>
    </row>
    <row r="1115" spans="1:43" s="4" customFormat="1" ht="19.350000000000001" customHeight="1" x14ac:dyDescent="0.25">
      <c r="A1115" s="1657"/>
      <c r="B1115" s="1657"/>
      <c r="C1115" s="1657"/>
      <c r="D1115" s="1657"/>
      <c r="E1115" s="1657"/>
      <c r="F1115" s="1657"/>
      <c r="G1115" s="1657"/>
      <c r="H1115" s="1658"/>
      <c r="I1115" s="1629" t="s">
        <v>1125</v>
      </c>
      <c r="J1115" s="128"/>
      <c r="K1115" s="129" t="s">
        <v>1132</v>
      </c>
      <c r="L1115" s="1613"/>
      <c r="M1115" s="130"/>
      <c r="N1115" s="130"/>
      <c r="O1115" s="1629" t="s">
        <v>1125</v>
      </c>
      <c r="P1115" s="128"/>
      <c r="Q1115" s="129" t="s">
        <v>1132</v>
      </c>
      <c r="R1115" s="1613"/>
      <c r="S1115" s="130"/>
      <c r="T1115" s="130"/>
      <c r="U1115" s="1629" t="s">
        <v>1125</v>
      </c>
      <c r="V1115" s="128"/>
      <c r="W1115" s="129" t="s">
        <v>1132</v>
      </c>
      <c r="X1115" s="1613"/>
      <c r="Y1115" s="130"/>
      <c r="Z1115" s="130"/>
      <c r="AA1115" s="1629" t="s">
        <v>1125</v>
      </c>
      <c r="AB1115" s="128"/>
      <c r="AC1115" s="129" t="s">
        <v>1132</v>
      </c>
      <c r="AD1115" s="1613"/>
      <c r="AE1115" s="130"/>
      <c r="AF1115" s="130"/>
      <c r="AG1115" s="1629" t="s">
        <v>1125</v>
      </c>
      <c r="AH1115" s="128"/>
      <c r="AI1115" s="129" t="s">
        <v>1132</v>
      </c>
      <c r="AJ1115" s="1613"/>
      <c r="AK1115" s="130"/>
      <c r="AL1115" s="130"/>
      <c r="AM1115" s="1629" t="s">
        <v>1125</v>
      </c>
      <c r="AN1115" s="128"/>
      <c r="AO1115" s="129" t="s">
        <v>1132</v>
      </c>
      <c r="AP1115" s="1613"/>
      <c r="AQ1115" s="130"/>
    </row>
    <row r="1116" spans="1:43" s="4" customFormat="1" ht="16.149999999999999" customHeight="1" x14ac:dyDescent="0.25">
      <c r="A1116" s="1657"/>
      <c r="B1116" s="1657"/>
      <c r="C1116" s="1657"/>
      <c r="D1116" s="1657"/>
      <c r="E1116" s="1657"/>
      <c r="F1116" s="1657"/>
      <c r="G1116" s="1657"/>
      <c r="H1116" s="1658"/>
      <c r="I1116" s="1649"/>
      <c r="J1116" s="128"/>
      <c r="K1116" s="129" t="s">
        <v>2</v>
      </c>
      <c r="L1116" s="1614"/>
      <c r="M1116" s="130"/>
      <c r="N1116" s="130"/>
      <c r="O1116" s="1649"/>
      <c r="P1116" s="128"/>
      <c r="Q1116" s="129" t="s">
        <v>2</v>
      </c>
      <c r="R1116" s="1614"/>
      <c r="S1116" s="130"/>
      <c r="T1116" s="130"/>
      <c r="U1116" s="1649"/>
      <c r="V1116" s="128"/>
      <c r="W1116" s="129" t="s">
        <v>2</v>
      </c>
      <c r="X1116" s="1614"/>
      <c r="Y1116" s="130"/>
      <c r="Z1116" s="130"/>
      <c r="AA1116" s="1649"/>
      <c r="AB1116" s="128"/>
      <c r="AC1116" s="129" t="s">
        <v>2</v>
      </c>
      <c r="AD1116" s="1614"/>
      <c r="AE1116" s="130"/>
      <c r="AF1116" s="130"/>
      <c r="AG1116" s="1649"/>
      <c r="AH1116" s="128"/>
      <c r="AI1116" s="129" t="s">
        <v>2</v>
      </c>
      <c r="AJ1116" s="1614"/>
      <c r="AK1116" s="130"/>
      <c r="AL1116" s="130"/>
      <c r="AM1116" s="1649"/>
      <c r="AN1116" s="128"/>
      <c r="AO1116" s="129" t="s">
        <v>2</v>
      </c>
      <c r="AP1116" s="1614"/>
      <c r="AQ1116" s="130"/>
    </row>
    <row r="1117" spans="1:43" s="4" customFormat="1" ht="15" x14ac:dyDescent="0.25">
      <c r="A1117" s="1657"/>
      <c r="B1117" s="1657"/>
      <c r="C1117" s="1657"/>
      <c r="D1117" s="1657"/>
      <c r="E1117" s="1657"/>
      <c r="F1117" s="1657"/>
      <c r="G1117" s="1657"/>
      <c r="H1117" s="1658"/>
      <c r="I1117" s="1630"/>
      <c r="J1117" s="128"/>
      <c r="K1117" s="129" t="s">
        <v>4</v>
      </c>
      <c r="L1117" s="1615"/>
      <c r="M1117" s="130"/>
      <c r="N1117" s="130"/>
      <c r="O1117" s="1630"/>
      <c r="P1117" s="128"/>
      <c r="Q1117" s="129" t="s">
        <v>4</v>
      </c>
      <c r="R1117" s="1615"/>
      <c r="S1117" s="130"/>
      <c r="T1117" s="130"/>
      <c r="U1117" s="1630"/>
      <c r="V1117" s="128"/>
      <c r="W1117" s="129" t="s">
        <v>4</v>
      </c>
      <c r="X1117" s="1615"/>
      <c r="Y1117" s="130"/>
      <c r="Z1117" s="130"/>
      <c r="AA1117" s="1630"/>
      <c r="AB1117" s="128"/>
      <c r="AC1117" s="129" t="s">
        <v>4</v>
      </c>
      <c r="AD1117" s="1615"/>
      <c r="AE1117" s="130"/>
      <c r="AF1117" s="130"/>
      <c r="AG1117" s="1630"/>
      <c r="AH1117" s="128"/>
      <c r="AI1117" s="129" t="s">
        <v>4</v>
      </c>
      <c r="AJ1117" s="1615"/>
      <c r="AK1117" s="130"/>
      <c r="AL1117" s="130"/>
      <c r="AM1117" s="1630"/>
      <c r="AN1117" s="128"/>
      <c r="AO1117" s="129" t="s">
        <v>4</v>
      </c>
      <c r="AP1117" s="1615"/>
      <c r="AQ1117" s="130"/>
    </row>
    <row r="1118" spans="1:43" s="4" customFormat="1" ht="15" x14ac:dyDescent="0.25">
      <c r="A1118" s="1657"/>
      <c r="B1118" s="1657"/>
      <c r="C1118" s="1657"/>
      <c r="D1118" s="1657"/>
      <c r="E1118" s="1657"/>
      <c r="F1118" s="1657"/>
      <c r="G1118" s="1657"/>
      <c r="H1118" s="1658"/>
      <c r="I1118" s="1629" t="s">
        <v>1127</v>
      </c>
      <c r="J1118" s="128"/>
      <c r="K1118" s="129" t="s">
        <v>1132</v>
      </c>
      <c r="L1118" s="1613"/>
      <c r="M1118" s="130"/>
      <c r="N1118" s="130"/>
      <c r="O1118" s="1629" t="s">
        <v>1127</v>
      </c>
      <c r="P1118" s="128"/>
      <c r="Q1118" s="129" t="s">
        <v>1132</v>
      </c>
      <c r="R1118" s="1613"/>
      <c r="S1118" s="130"/>
      <c r="T1118" s="130"/>
      <c r="U1118" s="1629" t="s">
        <v>1127</v>
      </c>
      <c r="V1118" s="128"/>
      <c r="W1118" s="129" t="s">
        <v>1132</v>
      </c>
      <c r="X1118" s="1613"/>
      <c r="Y1118" s="130"/>
      <c r="Z1118" s="130"/>
      <c r="AA1118" s="1629" t="s">
        <v>1127</v>
      </c>
      <c r="AB1118" s="128"/>
      <c r="AC1118" s="129" t="s">
        <v>1132</v>
      </c>
      <c r="AD1118" s="1613"/>
      <c r="AE1118" s="130"/>
      <c r="AF1118" s="130"/>
      <c r="AG1118" s="1629" t="s">
        <v>1127</v>
      </c>
      <c r="AH1118" s="128"/>
      <c r="AI1118" s="129" t="s">
        <v>1132</v>
      </c>
      <c r="AJ1118" s="1613"/>
      <c r="AK1118" s="130"/>
      <c r="AL1118" s="130"/>
      <c r="AM1118" s="1629" t="s">
        <v>1127</v>
      </c>
      <c r="AN1118" s="128"/>
      <c r="AO1118" s="129" t="s">
        <v>1132</v>
      </c>
      <c r="AP1118" s="1613"/>
      <c r="AQ1118" s="130"/>
    </row>
    <row r="1119" spans="1:43" s="4" customFormat="1" ht="14.85" customHeight="1" x14ac:dyDescent="0.25">
      <c r="A1119" s="1657"/>
      <c r="B1119" s="1657"/>
      <c r="C1119" s="1657"/>
      <c r="D1119" s="1657"/>
      <c r="E1119" s="1657"/>
      <c r="F1119" s="1657"/>
      <c r="G1119" s="1657"/>
      <c r="H1119" s="1658"/>
      <c r="I1119" s="1649"/>
      <c r="J1119" s="128"/>
      <c r="K1119" s="129" t="s">
        <v>2</v>
      </c>
      <c r="L1119" s="1614"/>
      <c r="M1119" s="131"/>
      <c r="N1119" s="131"/>
      <c r="O1119" s="1649"/>
      <c r="P1119" s="128"/>
      <c r="Q1119" s="129" t="s">
        <v>2</v>
      </c>
      <c r="R1119" s="1614"/>
      <c r="S1119" s="131"/>
      <c r="T1119" s="131"/>
      <c r="U1119" s="1649"/>
      <c r="V1119" s="128"/>
      <c r="W1119" s="129" t="s">
        <v>2</v>
      </c>
      <c r="X1119" s="1614"/>
      <c r="Y1119" s="131"/>
      <c r="Z1119" s="131"/>
      <c r="AA1119" s="1649"/>
      <c r="AB1119" s="128"/>
      <c r="AC1119" s="129" t="s">
        <v>2</v>
      </c>
      <c r="AD1119" s="1614"/>
      <c r="AE1119" s="131"/>
      <c r="AF1119" s="131"/>
      <c r="AG1119" s="1649"/>
      <c r="AH1119" s="128"/>
      <c r="AI1119" s="129" t="s">
        <v>2</v>
      </c>
      <c r="AJ1119" s="1614"/>
      <c r="AK1119" s="131"/>
      <c r="AL1119" s="131"/>
      <c r="AM1119" s="1649"/>
      <c r="AN1119" s="128"/>
      <c r="AO1119" s="129" t="s">
        <v>2</v>
      </c>
      <c r="AP1119" s="1614"/>
      <c r="AQ1119" s="131"/>
    </row>
    <row r="1120" spans="1:43" s="4" customFormat="1" ht="18" customHeight="1" x14ac:dyDescent="0.25">
      <c r="A1120" s="1657"/>
      <c r="B1120" s="1657"/>
      <c r="C1120" s="1657"/>
      <c r="D1120" s="1657"/>
      <c r="E1120" s="1657"/>
      <c r="F1120" s="1657"/>
      <c r="G1120" s="1657"/>
      <c r="H1120" s="1658"/>
      <c r="I1120" s="1630"/>
      <c r="J1120" s="128"/>
      <c r="K1120" s="129" t="s">
        <v>4</v>
      </c>
      <c r="L1120" s="1615"/>
      <c r="M1120" s="131"/>
      <c r="N1120" s="131"/>
      <c r="O1120" s="1630"/>
      <c r="P1120" s="128"/>
      <c r="Q1120" s="129" t="s">
        <v>4</v>
      </c>
      <c r="R1120" s="1615"/>
      <c r="S1120" s="131"/>
      <c r="T1120" s="131"/>
      <c r="U1120" s="1630"/>
      <c r="V1120" s="128"/>
      <c r="W1120" s="129" t="s">
        <v>4</v>
      </c>
      <c r="X1120" s="1615"/>
      <c r="Y1120" s="131"/>
      <c r="Z1120" s="131"/>
      <c r="AA1120" s="1630"/>
      <c r="AB1120" s="128"/>
      <c r="AC1120" s="129" t="s">
        <v>4</v>
      </c>
      <c r="AD1120" s="1615"/>
      <c r="AE1120" s="131"/>
      <c r="AF1120" s="131"/>
      <c r="AG1120" s="1630"/>
      <c r="AH1120" s="128"/>
      <c r="AI1120" s="129" t="s">
        <v>4</v>
      </c>
      <c r="AJ1120" s="1615"/>
      <c r="AK1120" s="131"/>
      <c r="AL1120" s="131"/>
      <c r="AM1120" s="1630"/>
      <c r="AN1120" s="128"/>
      <c r="AO1120" s="129" t="s">
        <v>4</v>
      </c>
      <c r="AP1120" s="1615"/>
      <c r="AQ1120" s="131"/>
    </row>
    <row r="1121" spans="1:43" s="4" customFormat="1" ht="22.5" customHeight="1" x14ac:dyDescent="0.25">
      <c r="A1121" s="1657"/>
      <c r="B1121" s="1657"/>
      <c r="C1121" s="1657"/>
      <c r="D1121" s="1657"/>
      <c r="E1121" s="1657"/>
      <c r="F1121" s="1657"/>
      <c r="G1121" s="1657"/>
      <c r="H1121" s="1658"/>
      <c r="I1121" s="1629" t="s">
        <v>1128</v>
      </c>
      <c r="J1121" s="128"/>
      <c r="K1121" s="129" t="s">
        <v>1132</v>
      </c>
      <c r="L1121" s="1613"/>
      <c r="M1121" s="131"/>
      <c r="N1121" s="131"/>
      <c r="O1121" s="1629" t="s">
        <v>1128</v>
      </c>
      <c r="P1121" s="128"/>
      <c r="Q1121" s="129" t="s">
        <v>1132</v>
      </c>
      <c r="R1121" s="1613"/>
      <c r="S1121" s="131"/>
      <c r="T1121" s="131"/>
      <c r="U1121" s="1629" t="s">
        <v>1128</v>
      </c>
      <c r="V1121" s="128"/>
      <c r="W1121" s="129" t="s">
        <v>1132</v>
      </c>
      <c r="X1121" s="1613"/>
      <c r="Y1121" s="131"/>
      <c r="Z1121" s="131"/>
      <c r="AA1121" s="1629" t="s">
        <v>1128</v>
      </c>
      <c r="AB1121" s="128"/>
      <c r="AC1121" s="129" t="s">
        <v>1132</v>
      </c>
      <c r="AD1121" s="1613"/>
      <c r="AE1121" s="131"/>
      <c r="AF1121" s="131"/>
      <c r="AG1121" s="1629" t="s">
        <v>1128</v>
      </c>
      <c r="AH1121" s="128"/>
      <c r="AI1121" s="129" t="s">
        <v>1132</v>
      </c>
      <c r="AJ1121" s="1613"/>
      <c r="AK1121" s="131"/>
      <c r="AL1121" s="131"/>
      <c r="AM1121" s="1629" t="s">
        <v>1128</v>
      </c>
      <c r="AN1121" s="128"/>
      <c r="AO1121" s="129" t="s">
        <v>1132</v>
      </c>
      <c r="AP1121" s="1613"/>
      <c r="AQ1121" s="131"/>
    </row>
    <row r="1122" spans="1:43" s="4" customFormat="1" ht="17.649999999999999" customHeight="1" x14ac:dyDescent="0.25">
      <c r="A1122" s="1657"/>
      <c r="B1122" s="1657"/>
      <c r="C1122" s="1657"/>
      <c r="D1122" s="1657"/>
      <c r="E1122" s="1657"/>
      <c r="F1122" s="1657"/>
      <c r="G1122" s="1657"/>
      <c r="H1122" s="1658"/>
      <c r="I1122" s="1649"/>
      <c r="J1122" s="128"/>
      <c r="K1122" s="129" t="s">
        <v>2</v>
      </c>
      <c r="L1122" s="1614"/>
      <c r="M1122" s="131"/>
      <c r="N1122" s="131"/>
      <c r="O1122" s="1649"/>
      <c r="P1122" s="128"/>
      <c r="Q1122" s="129" t="s">
        <v>2</v>
      </c>
      <c r="R1122" s="1614"/>
      <c r="S1122" s="131"/>
      <c r="T1122" s="131"/>
      <c r="U1122" s="1649"/>
      <c r="V1122" s="128"/>
      <c r="W1122" s="129" t="s">
        <v>2</v>
      </c>
      <c r="X1122" s="1614"/>
      <c r="Y1122" s="131"/>
      <c r="Z1122" s="131"/>
      <c r="AA1122" s="1649"/>
      <c r="AB1122" s="128"/>
      <c r="AC1122" s="129" t="s">
        <v>2</v>
      </c>
      <c r="AD1122" s="1614"/>
      <c r="AE1122" s="131"/>
      <c r="AF1122" s="131"/>
      <c r="AG1122" s="1649"/>
      <c r="AH1122" s="128"/>
      <c r="AI1122" s="129" t="s">
        <v>2</v>
      </c>
      <c r="AJ1122" s="1614"/>
      <c r="AK1122" s="131"/>
      <c r="AL1122" s="131"/>
      <c r="AM1122" s="1649"/>
      <c r="AN1122" s="128"/>
      <c r="AO1122" s="129" t="s">
        <v>2</v>
      </c>
      <c r="AP1122" s="1614"/>
      <c r="AQ1122" s="131"/>
    </row>
    <row r="1123" spans="1:43" s="4" customFormat="1" ht="16.149999999999999" customHeight="1" x14ac:dyDescent="0.25">
      <c r="A1123" s="1657"/>
      <c r="B1123" s="1657"/>
      <c r="C1123" s="1657"/>
      <c r="D1123" s="1657"/>
      <c r="E1123" s="1657"/>
      <c r="F1123" s="1657"/>
      <c r="G1123" s="1657"/>
      <c r="H1123" s="1658"/>
      <c r="I1123" s="1630"/>
      <c r="J1123" s="128"/>
      <c r="K1123" s="129" t="s">
        <v>4</v>
      </c>
      <c r="L1123" s="1615"/>
      <c r="M1123" s="131"/>
      <c r="N1123" s="131"/>
      <c r="O1123" s="1630"/>
      <c r="P1123" s="128"/>
      <c r="Q1123" s="129" t="s">
        <v>4</v>
      </c>
      <c r="R1123" s="1615"/>
      <c r="S1123" s="131"/>
      <c r="T1123" s="131"/>
      <c r="U1123" s="1630"/>
      <c r="V1123" s="128"/>
      <c r="W1123" s="129" t="s">
        <v>4</v>
      </c>
      <c r="X1123" s="1615"/>
      <c r="Y1123" s="131"/>
      <c r="Z1123" s="131"/>
      <c r="AA1123" s="1630"/>
      <c r="AB1123" s="128"/>
      <c r="AC1123" s="129" t="s">
        <v>4</v>
      </c>
      <c r="AD1123" s="1615"/>
      <c r="AE1123" s="131"/>
      <c r="AF1123" s="131"/>
      <c r="AG1123" s="1630"/>
      <c r="AH1123" s="128"/>
      <c r="AI1123" s="129" t="s">
        <v>4</v>
      </c>
      <c r="AJ1123" s="1615"/>
      <c r="AK1123" s="131"/>
      <c r="AL1123" s="131"/>
      <c r="AM1123" s="1630"/>
      <c r="AN1123" s="128"/>
      <c r="AO1123" s="129" t="s">
        <v>4</v>
      </c>
      <c r="AP1123" s="1615"/>
      <c r="AQ1123" s="131"/>
    </row>
    <row r="1124" spans="1:43" s="4" customFormat="1" ht="19.350000000000001" customHeight="1" x14ac:dyDescent="0.25">
      <c r="A1124" s="1657"/>
      <c r="B1124" s="1657"/>
      <c r="C1124" s="1657"/>
      <c r="D1124" s="1657"/>
      <c r="E1124" s="1657"/>
      <c r="F1124" s="1657"/>
      <c r="G1124" s="1657"/>
      <c r="H1124" s="1658"/>
      <c r="I1124" s="1031" t="s">
        <v>8</v>
      </c>
      <c r="J1124" s="128"/>
      <c r="K1124" s="129" t="s">
        <v>2</v>
      </c>
      <c r="L1124" s="128"/>
      <c r="M1124" s="131"/>
      <c r="N1124" s="131"/>
      <c r="O1124" s="1031" t="s">
        <v>8</v>
      </c>
      <c r="P1124" s="128"/>
      <c r="Q1124" s="129" t="s">
        <v>2</v>
      </c>
      <c r="R1124" s="128"/>
      <c r="S1124" s="131"/>
      <c r="T1124" s="131"/>
      <c r="U1124" s="1031" t="s">
        <v>8</v>
      </c>
      <c r="V1124" s="128"/>
      <c r="W1124" s="129" t="s">
        <v>2</v>
      </c>
      <c r="X1124" s="128"/>
      <c r="Y1124" s="131"/>
      <c r="Z1124" s="131"/>
      <c r="AA1124" s="1031" t="s">
        <v>8</v>
      </c>
      <c r="AB1124" s="128"/>
      <c r="AC1124" s="129" t="s">
        <v>2</v>
      </c>
      <c r="AD1124" s="128"/>
      <c r="AE1124" s="131"/>
      <c r="AF1124" s="131"/>
      <c r="AG1124" s="1031" t="s">
        <v>8</v>
      </c>
      <c r="AH1124" s="128"/>
      <c r="AI1124" s="129" t="s">
        <v>2</v>
      </c>
      <c r="AJ1124" s="128"/>
      <c r="AK1124" s="131"/>
      <c r="AL1124" s="131"/>
      <c r="AM1124" s="1031" t="s">
        <v>8</v>
      </c>
      <c r="AN1124" s="128"/>
      <c r="AO1124" s="129" t="s">
        <v>2</v>
      </c>
      <c r="AP1124" s="128"/>
      <c r="AQ1124" s="131"/>
    </row>
    <row r="1125" spans="1:43" s="4" customFormat="1" ht="32.1" customHeight="1" x14ac:dyDescent="0.25">
      <c r="A1125" s="1657"/>
      <c r="B1125" s="1657"/>
      <c r="C1125" s="1657"/>
      <c r="D1125" s="1657"/>
      <c r="E1125" s="1657"/>
      <c r="F1125" s="1657"/>
      <c r="G1125" s="1657"/>
      <c r="H1125" s="1658"/>
      <c r="I1125" s="132" t="s">
        <v>9</v>
      </c>
      <c r="J1125" s="128"/>
      <c r="K1125" s="129" t="s">
        <v>10</v>
      </c>
      <c r="L1125" s="128"/>
      <c r="M1125" s="131"/>
      <c r="N1125" s="131"/>
      <c r="O1125" s="132" t="s">
        <v>9</v>
      </c>
      <c r="P1125" s="128"/>
      <c r="Q1125" s="129" t="s">
        <v>10</v>
      </c>
      <c r="R1125" s="128"/>
      <c r="S1125" s="131"/>
      <c r="T1125" s="131"/>
      <c r="U1125" s="132" t="s">
        <v>9</v>
      </c>
      <c r="V1125" s="128"/>
      <c r="W1125" s="129" t="s">
        <v>10</v>
      </c>
      <c r="X1125" s="128"/>
      <c r="Y1125" s="131"/>
      <c r="Z1125" s="131"/>
      <c r="AA1125" s="132" t="s">
        <v>9</v>
      </c>
      <c r="AB1125" s="128"/>
      <c r="AC1125" s="129" t="s">
        <v>10</v>
      </c>
      <c r="AD1125" s="128"/>
      <c r="AE1125" s="131"/>
      <c r="AF1125" s="131"/>
      <c r="AG1125" s="132" t="s">
        <v>9</v>
      </c>
      <c r="AH1125" s="128"/>
      <c r="AI1125" s="129" t="s">
        <v>10</v>
      </c>
      <c r="AJ1125" s="128"/>
      <c r="AK1125" s="131"/>
      <c r="AL1125" s="131"/>
      <c r="AM1125" s="132" t="s">
        <v>9</v>
      </c>
      <c r="AN1125" s="128"/>
      <c r="AO1125" s="129" t="s">
        <v>10</v>
      </c>
      <c r="AP1125" s="128"/>
      <c r="AQ1125" s="131"/>
    </row>
    <row r="1126" spans="1:43" s="4" customFormat="1" ht="32.1" customHeight="1" x14ac:dyDescent="0.25">
      <c r="A1126" s="1657"/>
      <c r="B1126" s="1657"/>
      <c r="C1126" s="1657"/>
      <c r="D1126" s="1657"/>
      <c r="E1126" s="1657"/>
      <c r="F1126" s="1657"/>
      <c r="G1126" s="1657"/>
      <c r="H1126" s="1658"/>
      <c r="I1126" s="132" t="s">
        <v>32</v>
      </c>
      <c r="J1126" s="128"/>
      <c r="K1126" s="129" t="s">
        <v>10</v>
      </c>
      <c r="L1126" s="128"/>
      <c r="M1126" s="131"/>
      <c r="N1126" s="131"/>
      <c r="O1126" s="132" t="s">
        <v>32</v>
      </c>
      <c r="P1126" s="128"/>
      <c r="Q1126" s="129" t="s">
        <v>10</v>
      </c>
      <c r="R1126" s="128"/>
      <c r="S1126" s="131"/>
      <c r="T1126" s="131"/>
      <c r="U1126" s="132" t="s">
        <v>32</v>
      </c>
      <c r="V1126" s="128"/>
      <c r="W1126" s="129" t="s">
        <v>10</v>
      </c>
      <c r="X1126" s="128"/>
      <c r="Y1126" s="131"/>
      <c r="Z1126" s="131"/>
      <c r="AA1126" s="132" t="s">
        <v>32</v>
      </c>
      <c r="AB1126" s="128"/>
      <c r="AC1126" s="129" t="s">
        <v>10</v>
      </c>
      <c r="AD1126" s="128"/>
      <c r="AE1126" s="131"/>
      <c r="AF1126" s="131"/>
      <c r="AG1126" s="132" t="s">
        <v>32</v>
      </c>
      <c r="AH1126" s="128"/>
      <c r="AI1126" s="129" t="s">
        <v>10</v>
      </c>
      <c r="AJ1126" s="128"/>
      <c r="AK1126" s="131"/>
      <c r="AL1126" s="131"/>
      <c r="AM1126" s="132" t="s">
        <v>32</v>
      </c>
      <c r="AN1126" s="128"/>
      <c r="AO1126" s="129" t="s">
        <v>10</v>
      </c>
      <c r="AP1126" s="128"/>
      <c r="AQ1126" s="131"/>
    </row>
    <row r="1127" spans="1:43" s="4" customFormat="1" ht="32.1" customHeight="1" x14ac:dyDescent="0.25">
      <c r="A1127" s="1657"/>
      <c r="B1127" s="1657"/>
      <c r="C1127" s="1657"/>
      <c r="D1127" s="1657"/>
      <c r="E1127" s="1657"/>
      <c r="F1127" s="1657"/>
      <c r="G1127" s="1657"/>
      <c r="H1127" s="1658"/>
      <c r="I1127" s="132" t="s">
        <v>1129</v>
      </c>
      <c r="J1127" s="128"/>
      <c r="K1127" s="129" t="s">
        <v>1132</v>
      </c>
      <c r="L1127" s="128"/>
      <c r="M1127" s="131"/>
      <c r="N1127" s="131"/>
      <c r="O1127" s="132" t="s">
        <v>1129</v>
      </c>
      <c r="P1127" s="128"/>
      <c r="Q1127" s="129" t="s">
        <v>1132</v>
      </c>
      <c r="R1127" s="128"/>
      <c r="S1127" s="131"/>
      <c r="T1127" s="131"/>
      <c r="U1127" s="132" t="s">
        <v>1129</v>
      </c>
      <c r="V1127" s="128"/>
      <c r="W1127" s="129" t="s">
        <v>1132</v>
      </c>
      <c r="X1127" s="128"/>
      <c r="Y1127" s="131"/>
      <c r="Z1127" s="131"/>
      <c r="AA1127" s="132" t="s">
        <v>1129</v>
      </c>
      <c r="AB1127" s="128"/>
      <c r="AC1127" s="129" t="s">
        <v>1132</v>
      </c>
      <c r="AD1127" s="128"/>
      <c r="AE1127" s="131"/>
      <c r="AF1127" s="131"/>
      <c r="AG1127" s="132" t="s">
        <v>1129</v>
      </c>
      <c r="AH1127" s="128"/>
      <c r="AI1127" s="129" t="s">
        <v>1132</v>
      </c>
      <c r="AJ1127" s="128"/>
      <c r="AK1127" s="131"/>
      <c r="AL1127" s="131"/>
      <c r="AM1127" s="132" t="s">
        <v>1129</v>
      </c>
      <c r="AN1127" s="128"/>
      <c r="AO1127" s="129" t="s">
        <v>1132</v>
      </c>
      <c r="AP1127" s="128"/>
      <c r="AQ1127" s="131"/>
    </row>
    <row r="1128" spans="1:43" s="4" customFormat="1" ht="32.1" customHeight="1" x14ac:dyDescent="0.25">
      <c r="A1128" s="1657"/>
      <c r="B1128" s="1657"/>
      <c r="C1128" s="1657"/>
      <c r="D1128" s="1657"/>
      <c r="E1128" s="1657"/>
      <c r="F1128" s="1657"/>
      <c r="G1128" s="1657"/>
      <c r="H1128" s="1658"/>
      <c r="I1128" s="132" t="s">
        <v>11</v>
      </c>
      <c r="J1128" s="128"/>
      <c r="K1128" s="129" t="s">
        <v>4</v>
      </c>
      <c r="L1128" s="128"/>
      <c r="M1128" s="131"/>
      <c r="N1128" s="131"/>
      <c r="O1128" s="132" t="s">
        <v>11</v>
      </c>
      <c r="P1128" s="128"/>
      <c r="Q1128" s="129" t="s">
        <v>4</v>
      </c>
      <c r="R1128" s="128"/>
      <c r="S1128" s="131"/>
      <c r="T1128" s="131"/>
      <c r="U1128" s="132" t="s">
        <v>11</v>
      </c>
      <c r="V1128" s="128"/>
      <c r="W1128" s="129" t="s">
        <v>4</v>
      </c>
      <c r="X1128" s="128"/>
      <c r="Y1128" s="131"/>
      <c r="Z1128" s="131"/>
      <c r="AA1128" s="132" t="s">
        <v>11</v>
      </c>
      <c r="AB1128" s="128"/>
      <c r="AC1128" s="129" t="s">
        <v>4</v>
      </c>
      <c r="AD1128" s="128"/>
      <c r="AE1128" s="131"/>
      <c r="AF1128" s="131"/>
      <c r="AG1128" s="132" t="s">
        <v>11</v>
      </c>
      <c r="AH1128" s="128"/>
      <c r="AI1128" s="129" t="s">
        <v>4</v>
      </c>
      <c r="AJ1128" s="128"/>
      <c r="AK1128" s="131"/>
      <c r="AL1128" s="131"/>
      <c r="AM1128" s="132" t="s">
        <v>11</v>
      </c>
      <c r="AN1128" s="128"/>
      <c r="AO1128" s="129" t="s">
        <v>4</v>
      </c>
      <c r="AP1128" s="128"/>
      <c r="AQ1128" s="131"/>
    </row>
    <row r="1129" spans="1:43" s="4" customFormat="1" ht="32.1" customHeight="1" x14ac:dyDescent="0.25">
      <c r="A1129" s="1657"/>
      <c r="B1129" s="1657"/>
      <c r="C1129" s="1657"/>
      <c r="D1129" s="1657"/>
      <c r="E1129" s="1657"/>
      <c r="F1129" s="1657"/>
      <c r="G1129" s="1657"/>
      <c r="H1129" s="1658"/>
      <c r="I1129" s="132" t="s">
        <v>1130</v>
      </c>
      <c r="J1129" s="128"/>
      <c r="K1129" s="129" t="s">
        <v>1132</v>
      </c>
      <c r="L1129" s="128"/>
      <c r="M1129" s="131"/>
      <c r="N1129" s="131"/>
      <c r="O1129" s="132" t="s">
        <v>1130</v>
      </c>
      <c r="P1129" s="128"/>
      <c r="Q1129" s="129" t="s">
        <v>1132</v>
      </c>
      <c r="R1129" s="128"/>
      <c r="S1129" s="131"/>
      <c r="T1129" s="131"/>
      <c r="U1129" s="132" t="s">
        <v>1130</v>
      </c>
      <c r="V1129" s="128"/>
      <c r="W1129" s="129" t="s">
        <v>1132</v>
      </c>
      <c r="X1129" s="128"/>
      <c r="Y1129" s="131"/>
      <c r="Z1129" s="131"/>
      <c r="AA1129" s="132" t="s">
        <v>1130</v>
      </c>
      <c r="AB1129" s="128"/>
      <c r="AC1129" s="129" t="s">
        <v>1132</v>
      </c>
      <c r="AD1129" s="128"/>
      <c r="AE1129" s="131"/>
      <c r="AF1129" s="131"/>
      <c r="AG1129" s="132" t="s">
        <v>1130</v>
      </c>
      <c r="AH1129" s="128"/>
      <c r="AI1129" s="129" t="s">
        <v>1132</v>
      </c>
      <c r="AJ1129" s="128"/>
      <c r="AK1129" s="131"/>
      <c r="AL1129" s="131"/>
      <c r="AM1129" s="132" t="s">
        <v>1130</v>
      </c>
      <c r="AN1129" s="128"/>
      <c r="AO1129" s="129" t="s">
        <v>1132</v>
      </c>
      <c r="AP1129" s="128"/>
      <c r="AQ1129" s="131"/>
    </row>
    <row r="1130" spans="1:43" s="4" customFormat="1" ht="32.1" customHeight="1" x14ac:dyDescent="0.25">
      <c r="A1130" s="1657"/>
      <c r="B1130" s="1657"/>
      <c r="C1130" s="1657"/>
      <c r="D1130" s="1657"/>
      <c r="E1130" s="1657"/>
      <c r="F1130" s="1657"/>
      <c r="G1130" s="1657"/>
      <c r="H1130" s="1658"/>
      <c r="I1130" s="132" t="s">
        <v>33</v>
      </c>
      <c r="J1130" s="128"/>
      <c r="K1130" s="129" t="s">
        <v>1132</v>
      </c>
      <c r="L1130" s="128"/>
      <c r="M1130" s="131"/>
      <c r="N1130" s="131"/>
      <c r="O1130" s="132" t="s">
        <v>33</v>
      </c>
      <c r="P1130" s="128"/>
      <c r="Q1130" s="129" t="s">
        <v>1132</v>
      </c>
      <c r="R1130" s="128"/>
      <c r="S1130" s="131"/>
      <c r="T1130" s="131"/>
      <c r="U1130" s="132" t="s">
        <v>33</v>
      </c>
      <c r="V1130" s="128"/>
      <c r="W1130" s="129" t="s">
        <v>1132</v>
      </c>
      <c r="X1130" s="128"/>
      <c r="Y1130" s="131"/>
      <c r="Z1130" s="131"/>
      <c r="AA1130" s="132" t="s">
        <v>33</v>
      </c>
      <c r="AB1130" s="128"/>
      <c r="AC1130" s="129" t="s">
        <v>1132</v>
      </c>
      <c r="AD1130" s="128"/>
      <c r="AE1130" s="131"/>
      <c r="AF1130" s="131"/>
      <c r="AG1130" s="132" t="s">
        <v>33</v>
      </c>
      <c r="AH1130" s="128"/>
      <c r="AI1130" s="129" t="s">
        <v>1132</v>
      </c>
      <c r="AJ1130" s="128"/>
      <c r="AK1130" s="131"/>
      <c r="AL1130" s="131"/>
      <c r="AM1130" s="132" t="s">
        <v>33</v>
      </c>
      <c r="AN1130" s="128"/>
      <c r="AO1130" s="129" t="s">
        <v>1132</v>
      </c>
      <c r="AP1130" s="128"/>
      <c r="AQ1130" s="131"/>
    </row>
    <row r="1131" spans="1:43" s="4" customFormat="1" ht="32.1" customHeight="1" x14ac:dyDescent="0.25">
      <c r="A1131" s="1657"/>
      <c r="B1131" s="1657"/>
      <c r="C1131" s="1657"/>
      <c r="D1131" s="1657"/>
      <c r="E1131" s="1657"/>
      <c r="F1131" s="1657"/>
      <c r="G1131" s="1657"/>
      <c r="H1131" s="1658"/>
      <c r="I1131" s="132" t="s">
        <v>1073</v>
      </c>
      <c r="J1131" s="128"/>
      <c r="K1131" s="129" t="s">
        <v>4</v>
      </c>
      <c r="L1131" s="128"/>
      <c r="M1131" s="131"/>
      <c r="N1131" s="131"/>
      <c r="O1131" s="132" t="s">
        <v>1073</v>
      </c>
      <c r="P1131" s="128"/>
      <c r="Q1131" s="129" t="s">
        <v>4</v>
      </c>
      <c r="R1131" s="128"/>
      <c r="S1131" s="131"/>
      <c r="T1131" s="131"/>
      <c r="U1131" s="132" t="s">
        <v>1073</v>
      </c>
      <c r="V1131" s="128"/>
      <c r="W1131" s="129" t="s">
        <v>4</v>
      </c>
      <c r="X1131" s="128"/>
      <c r="Y1131" s="131"/>
      <c r="Z1131" s="131"/>
      <c r="AA1131" s="132" t="s">
        <v>1073</v>
      </c>
      <c r="AB1131" s="128"/>
      <c r="AC1131" s="129" t="s">
        <v>4</v>
      </c>
      <c r="AD1131" s="128"/>
      <c r="AE1131" s="131"/>
      <c r="AF1131" s="131"/>
      <c r="AG1131" s="132" t="s">
        <v>1073</v>
      </c>
      <c r="AH1131" s="128"/>
      <c r="AI1131" s="129" t="s">
        <v>4</v>
      </c>
      <c r="AJ1131" s="128"/>
      <c r="AK1131" s="131"/>
      <c r="AL1131" s="131"/>
      <c r="AM1131" s="132" t="s">
        <v>1073</v>
      </c>
      <c r="AN1131" s="128"/>
      <c r="AO1131" s="129" t="s">
        <v>4</v>
      </c>
      <c r="AP1131" s="128"/>
      <c r="AQ1131" s="131"/>
    </row>
    <row r="1132" spans="1:43" s="4" customFormat="1" ht="32.1" customHeight="1" x14ac:dyDescent="0.25">
      <c r="A1132" s="1657"/>
      <c r="B1132" s="1657"/>
      <c r="C1132" s="1657"/>
      <c r="D1132" s="1657"/>
      <c r="E1132" s="1657"/>
      <c r="F1132" s="1657"/>
      <c r="G1132" s="1657"/>
      <c r="H1132" s="1658"/>
      <c r="I1132" s="132" t="s">
        <v>1074</v>
      </c>
      <c r="J1132" s="128"/>
      <c r="K1132" s="129" t="s">
        <v>4</v>
      </c>
      <c r="L1132" s="128"/>
      <c r="M1132" s="131"/>
      <c r="N1132" s="131"/>
      <c r="O1132" s="132" t="s">
        <v>1074</v>
      </c>
      <c r="P1132" s="128"/>
      <c r="Q1132" s="129" t="s">
        <v>4</v>
      </c>
      <c r="R1132" s="128"/>
      <c r="S1132" s="131"/>
      <c r="T1132" s="131"/>
      <c r="U1132" s="132" t="s">
        <v>1074</v>
      </c>
      <c r="V1132" s="128"/>
      <c r="W1132" s="129" t="s">
        <v>4</v>
      </c>
      <c r="X1132" s="128"/>
      <c r="Y1132" s="131"/>
      <c r="Z1132" s="131"/>
      <c r="AA1132" s="132" t="s">
        <v>1074</v>
      </c>
      <c r="AB1132" s="128"/>
      <c r="AC1132" s="129" t="s">
        <v>4</v>
      </c>
      <c r="AD1132" s="128"/>
      <c r="AE1132" s="131"/>
      <c r="AF1132" s="131"/>
      <c r="AG1132" s="132" t="s">
        <v>1074</v>
      </c>
      <c r="AH1132" s="128"/>
      <c r="AI1132" s="129" t="s">
        <v>4</v>
      </c>
      <c r="AJ1132" s="128"/>
      <c r="AK1132" s="131"/>
      <c r="AL1132" s="131"/>
      <c r="AM1132" s="132" t="s">
        <v>1074</v>
      </c>
      <c r="AN1132" s="128"/>
      <c r="AO1132" s="129" t="s">
        <v>4</v>
      </c>
      <c r="AP1132" s="128"/>
      <c r="AQ1132" s="131"/>
    </row>
    <row r="1133" spans="1:43" s="4" customFormat="1" ht="32.1" customHeight="1" x14ac:dyDescent="0.25">
      <c r="A1133" s="1657"/>
      <c r="B1133" s="1657"/>
      <c r="C1133" s="1657"/>
      <c r="D1133" s="1657"/>
      <c r="E1133" s="1657"/>
      <c r="F1133" s="1657"/>
      <c r="G1133" s="1657"/>
      <c r="H1133" s="1658"/>
      <c r="I1133" s="132" t="s">
        <v>1075</v>
      </c>
      <c r="J1133" s="128"/>
      <c r="K1133" s="129" t="s">
        <v>4</v>
      </c>
      <c r="L1133" s="128"/>
      <c r="M1133" s="131"/>
      <c r="N1133" s="131"/>
      <c r="O1133" s="132" t="s">
        <v>1075</v>
      </c>
      <c r="P1133" s="128"/>
      <c r="Q1133" s="129" t="s">
        <v>4</v>
      </c>
      <c r="R1133" s="128"/>
      <c r="S1133" s="131"/>
      <c r="T1133" s="131"/>
      <c r="U1133" s="132" t="s">
        <v>1075</v>
      </c>
      <c r="V1133" s="128"/>
      <c r="W1133" s="129" t="s">
        <v>4</v>
      </c>
      <c r="X1133" s="128"/>
      <c r="Y1133" s="131"/>
      <c r="Z1133" s="131"/>
      <c r="AA1133" s="132" t="s">
        <v>1075</v>
      </c>
      <c r="AB1133" s="128"/>
      <c r="AC1133" s="129" t="s">
        <v>4</v>
      </c>
      <c r="AD1133" s="128"/>
      <c r="AE1133" s="131"/>
      <c r="AF1133" s="131"/>
      <c r="AG1133" s="132" t="s">
        <v>1075</v>
      </c>
      <c r="AH1133" s="128"/>
      <c r="AI1133" s="129" t="s">
        <v>4</v>
      </c>
      <c r="AJ1133" s="128"/>
      <c r="AK1133" s="131"/>
      <c r="AL1133" s="131"/>
      <c r="AM1133" s="132" t="s">
        <v>1075</v>
      </c>
      <c r="AN1133" s="128"/>
      <c r="AO1133" s="129" t="s">
        <v>4</v>
      </c>
      <c r="AP1133" s="128"/>
      <c r="AQ1133" s="131"/>
    </row>
    <row r="1134" spans="1:43" s="4" customFormat="1" ht="32.1" customHeight="1" x14ac:dyDescent="0.25">
      <c r="A1134" s="1657"/>
      <c r="B1134" s="1657"/>
      <c r="C1134" s="1657"/>
      <c r="D1134" s="1657"/>
      <c r="E1134" s="1657"/>
      <c r="F1134" s="1657"/>
      <c r="G1134" s="1657"/>
      <c r="H1134" s="1658"/>
      <c r="I1134" s="132" t="s">
        <v>1076</v>
      </c>
      <c r="J1134" s="128"/>
      <c r="K1134" s="129" t="s">
        <v>10</v>
      </c>
      <c r="L1134" s="128"/>
      <c r="M1134" s="131"/>
      <c r="N1134" s="131"/>
      <c r="O1134" s="132" t="s">
        <v>1076</v>
      </c>
      <c r="P1134" s="128"/>
      <c r="Q1134" s="129" t="s">
        <v>10</v>
      </c>
      <c r="R1134" s="128"/>
      <c r="S1134" s="131"/>
      <c r="T1134" s="131"/>
      <c r="U1134" s="132" t="s">
        <v>1076</v>
      </c>
      <c r="V1134" s="128"/>
      <c r="W1134" s="129" t="s">
        <v>10</v>
      </c>
      <c r="X1134" s="128"/>
      <c r="Y1134" s="131"/>
      <c r="Z1134" s="131"/>
      <c r="AA1134" s="132" t="s">
        <v>1076</v>
      </c>
      <c r="AB1134" s="128"/>
      <c r="AC1134" s="129" t="s">
        <v>10</v>
      </c>
      <c r="AD1134" s="128"/>
      <c r="AE1134" s="131"/>
      <c r="AF1134" s="131"/>
      <c r="AG1134" s="132" t="s">
        <v>1076</v>
      </c>
      <c r="AH1134" s="128"/>
      <c r="AI1134" s="129" t="s">
        <v>10</v>
      </c>
      <c r="AJ1134" s="128"/>
      <c r="AK1134" s="131"/>
      <c r="AL1134" s="131"/>
      <c r="AM1134" s="132" t="s">
        <v>1076</v>
      </c>
      <c r="AN1134" s="128"/>
      <c r="AO1134" s="129" t="s">
        <v>10</v>
      </c>
      <c r="AP1134" s="128"/>
      <c r="AQ1134" s="131"/>
    </row>
    <row r="1135" spans="1:43" s="4" customFormat="1" ht="32.1" customHeight="1" x14ac:dyDescent="0.25">
      <c r="A1135" s="1657"/>
      <c r="B1135" s="1657"/>
      <c r="C1135" s="1657"/>
      <c r="D1135" s="1657"/>
      <c r="E1135" s="1657"/>
      <c r="F1135" s="1657"/>
      <c r="G1135" s="1657"/>
      <c r="H1135" s="1658"/>
      <c r="I1135" s="132" t="s">
        <v>1131</v>
      </c>
      <c r="J1135" s="128"/>
      <c r="K1135" s="129" t="s">
        <v>1132</v>
      </c>
      <c r="L1135" s="128"/>
      <c r="M1135" s="131"/>
      <c r="N1135" s="131"/>
      <c r="O1135" s="132" t="s">
        <v>1131</v>
      </c>
      <c r="P1135" s="128"/>
      <c r="Q1135" s="129" t="s">
        <v>1132</v>
      </c>
      <c r="R1135" s="128"/>
      <c r="S1135" s="131"/>
      <c r="T1135" s="131"/>
      <c r="U1135" s="132" t="s">
        <v>1131</v>
      </c>
      <c r="V1135" s="128"/>
      <c r="W1135" s="129" t="s">
        <v>1132</v>
      </c>
      <c r="X1135" s="128"/>
      <c r="Y1135" s="131"/>
      <c r="Z1135" s="131"/>
      <c r="AA1135" s="132" t="s">
        <v>1131</v>
      </c>
      <c r="AB1135" s="128"/>
      <c r="AC1135" s="129" t="s">
        <v>1132</v>
      </c>
      <c r="AD1135" s="128"/>
      <c r="AE1135" s="131"/>
      <c r="AF1135" s="131"/>
      <c r="AG1135" s="132" t="s">
        <v>1131</v>
      </c>
      <c r="AH1135" s="128"/>
      <c r="AI1135" s="129" t="s">
        <v>1132</v>
      </c>
      <c r="AJ1135" s="128"/>
      <c r="AK1135" s="131"/>
      <c r="AL1135" s="131"/>
      <c r="AM1135" s="132" t="s">
        <v>1131</v>
      </c>
      <c r="AN1135" s="128"/>
      <c r="AO1135" s="129" t="s">
        <v>1132</v>
      </c>
      <c r="AP1135" s="128"/>
      <c r="AQ1135" s="131"/>
    </row>
    <row r="1136" spans="1:43" s="4" customFormat="1" ht="88.15" customHeight="1" x14ac:dyDescent="0.25">
      <c r="A1136" s="1657"/>
      <c r="B1136" s="1657"/>
      <c r="C1136" s="1657"/>
      <c r="D1136" s="1657"/>
      <c r="E1136" s="1657"/>
      <c r="F1136" s="1657"/>
      <c r="G1136" s="1657"/>
      <c r="H1136" s="1658"/>
      <c r="I1136" s="132" t="s">
        <v>1134</v>
      </c>
      <c r="J1136" s="128"/>
      <c r="K1136" s="129" t="s">
        <v>1133</v>
      </c>
      <c r="L1136" s="128"/>
      <c r="M1136" s="131"/>
      <c r="N1136" s="131"/>
      <c r="O1136" s="132" t="s">
        <v>1134</v>
      </c>
      <c r="P1136" s="128"/>
      <c r="Q1136" s="129" t="s">
        <v>1133</v>
      </c>
      <c r="R1136" s="128"/>
      <c r="S1136" s="131"/>
      <c r="T1136" s="131"/>
      <c r="U1136" s="132" t="s">
        <v>1134</v>
      </c>
      <c r="V1136" s="128"/>
      <c r="W1136" s="129" t="s">
        <v>1133</v>
      </c>
      <c r="X1136" s="128"/>
      <c r="Y1136" s="131"/>
      <c r="Z1136" s="131"/>
      <c r="AA1136" s="132" t="s">
        <v>1134</v>
      </c>
      <c r="AB1136" s="128"/>
      <c r="AC1136" s="129" t="s">
        <v>1133</v>
      </c>
      <c r="AD1136" s="128"/>
      <c r="AE1136" s="131"/>
      <c r="AF1136" s="131"/>
      <c r="AG1136" s="132" t="s">
        <v>1134</v>
      </c>
      <c r="AH1136" s="128"/>
      <c r="AI1136" s="129" t="s">
        <v>1133</v>
      </c>
      <c r="AJ1136" s="128"/>
      <c r="AK1136" s="131"/>
      <c r="AL1136" s="131"/>
      <c r="AM1136" s="132" t="s">
        <v>1134</v>
      </c>
      <c r="AN1136" s="128"/>
      <c r="AO1136" s="129" t="s">
        <v>1133</v>
      </c>
      <c r="AP1136" s="128"/>
      <c r="AQ1136" s="131"/>
    </row>
    <row r="1137" spans="2:16" ht="7.7" customHeight="1" x14ac:dyDescent="0.25"/>
    <row r="1138" spans="2:16" ht="20.25" x14ac:dyDescent="0.3">
      <c r="B1138" s="268" t="s">
        <v>1180</v>
      </c>
    </row>
    <row r="1139" spans="2:16" ht="20.25" x14ac:dyDescent="0.3">
      <c r="B1139" s="268"/>
      <c r="C1139" s="59"/>
      <c r="D1139" s="59"/>
      <c r="E1139" s="266"/>
      <c r="F1139" s="266"/>
      <c r="G1139" s="267"/>
      <c r="H1139" s="267"/>
      <c r="I1139" s="267"/>
      <c r="J1139" s="267"/>
      <c r="K1139" s="267"/>
      <c r="L1139" s="267"/>
      <c r="M1139" s="267"/>
      <c r="N1139" s="267"/>
      <c r="O1139" s="267"/>
      <c r="P1139" s="267"/>
    </row>
  </sheetData>
  <sheetProtection selectLockedCells="1" selectUnlockedCells="1"/>
  <mergeCells count="2037">
    <mergeCell ref="Y1094:Y1095"/>
    <mergeCell ref="Z1094:Z1095"/>
    <mergeCell ref="AA1094:AA1095"/>
    <mergeCell ref="AD1094:AD1095"/>
    <mergeCell ref="Y1096:Y1097"/>
    <mergeCell ref="Z1096:Z1097"/>
    <mergeCell ref="AA1096:AA1097"/>
    <mergeCell ref="AD1096:AD1097"/>
    <mergeCell ref="Y1098:Y1099"/>
    <mergeCell ref="Z1098:Z1099"/>
    <mergeCell ref="AA1098:AA1099"/>
    <mergeCell ref="AD1098:AD1099"/>
    <mergeCell ref="S928:S929"/>
    <mergeCell ref="T928:T929"/>
    <mergeCell ref="U928:U929"/>
    <mergeCell ref="X928:X929"/>
    <mergeCell ref="F110:F113"/>
    <mergeCell ref="Z926:Z927"/>
    <mergeCell ref="AA926:AA927"/>
    <mergeCell ref="R759:R760"/>
    <mergeCell ref="L486:L487"/>
    <mergeCell ref="H332:H333"/>
    <mergeCell ref="N430:N433"/>
    <mergeCell ref="I471:I472"/>
    <mergeCell ref="X481:X482"/>
    <mergeCell ref="Z464:Z465"/>
    <mergeCell ref="AA193:AA195"/>
    <mergeCell ref="X193:X195"/>
    <mergeCell ref="U481:U482"/>
    <mergeCell ref="I193:I195"/>
    <mergeCell ref="O310:O311"/>
    <mergeCell ref="I187:I189"/>
    <mergeCell ref="D110:D113"/>
    <mergeCell ref="C110:C113"/>
    <mergeCell ref="B110:B113"/>
    <mergeCell ref="A110:A113"/>
    <mergeCell ref="Y1086:Y1087"/>
    <mergeCell ref="Z1086:Z1087"/>
    <mergeCell ref="AA1086:AA1087"/>
    <mergeCell ref="AD1086:AD1087"/>
    <mergeCell ref="Y1088:Y1089"/>
    <mergeCell ref="Z1088:Z1089"/>
    <mergeCell ref="AA1088:AA1089"/>
    <mergeCell ref="AD1088:AD1089"/>
    <mergeCell ref="S112:S113"/>
    <mergeCell ref="T112:T113"/>
    <mergeCell ref="U112:U113"/>
    <mergeCell ref="X112:X113"/>
    <mergeCell ref="Y112:Y113"/>
    <mergeCell ref="Z112:Z113"/>
    <mergeCell ref="AA112:AA113"/>
    <mergeCell ref="AD112:AD113"/>
    <mergeCell ref="A926:A927"/>
    <mergeCell ref="B926:B927"/>
    <mergeCell ref="C926:C927"/>
    <mergeCell ref="D926:D927"/>
    <mergeCell ref="E926:E927"/>
    <mergeCell ref="F926:F927"/>
    <mergeCell ref="AD926:AD927"/>
    <mergeCell ref="A243:A244"/>
    <mergeCell ref="A151:A152"/>
    <mergeCell ref="B151:B152"/>
    <mergeCell ref="Y926:Y927"/>
    <mergeCell ref="AP118:AP119"/>
    <mergeCell ref="AK124:AK125"/>
    <mergeCell ref="AL124:AL125"/>
    <mergeCell ref="AM124:AM125"/>
    <mergeCell ref="AP124:AP125"/>
    <mergeCell ref="AK126:AK127"/>
    <mergeCell ref="AL126:AL127"/>
    <mergeCell ref="AM126:AM127"/>
    <mergeCell ref="AP126:AP127"/>
    <mergeCell ref="D144:D148"/>
    <mergeCell ref="O104:O105"/>
    <mergeCell ref="S104:S107"/>
    <mergeCell ref="AP50:AP51"/>
    <mergeCell ref="AK56:AK57"/>
    <mergeCell ref="AL56:AL57"/>
    <mergeCell ref="AM56:AM57"/>
    <mergeCell ref="AP56:AP57"/>
    <mergeCell ref="AK60:AK61"/>
    <mergeCell ref="AL60:AL61"/>
    <mergeCell ref="AM60:AM61"/>
    <mergeCell ref="AP60:AP61"/>
    <mergeCell ref="AK100:AK101"/>
    <mergeCell ref="AL100:AL101"/>
    <mergeCell ref="AM100:AM101"/>
    <mergeCell ref="AP100:AP101"/>
    <mergeCell ref="AK108:AK109"/>
    <mergeCell ref="AL108:AL109"/>
    <mergeCell ref="AM108:AM109"/>
    <mergeCell ref="AP108:AP109"/>
    <mergeCell ref="AK50:AK51"/>
    <mergeCell ref="AL50:AL51"/>
    <mergeCell ref="AM50:AM51"/>
    <mergeCell ref="AF120:AF121"/>
    <mergeCell ref="AG120:AG121"/>
    <mergeCell ref="AJ120:AJ121"/>
    <mergeCell ref="F73:F74"/>
    <mergeCell ref="F104:F107"/>
    <mergeCell ref="AF75:AF76"/>
    <mergeCell ref="AG75:AG76"/>
    <mergeCell ref="AJ94:AJ95"/>
    <mergeCell ref="AJ91:AJ92"/>
    <mergeCell ref="AE75:AE76"/>
    <mergeCell ref="C151:C152"/>
    <mergeCell ref="D151:D152"/>
    <mergeCell ref="E151:E152"/>
    <mergeCell ref="F151:F152"/>
    <mergeCell ref="AG151:AG152"/>
    <mergeCell ref="AJ151:AJ152"/>
    <mergeCell ref="AF151:AF152"/>
    <mergeCell ref="D126:D127"/>
    <mergeCell ref="D102:D103"/>
    <mergeCell ref="D100:D101"/>
    <mergeCell ref="X104:X105"/>
    <mergeCell ref="O91:O92"/>
    <mergeCell ref="R91:R92"/>
    <mergeCell ref="AD75:AD76"/>
    <mergeCell ref="Z94:Z97"/>
    <mergeCell ref="Y75:Y76"/>
    <mergeCell ref="Z91:Z93"/>
    <mergeCell ref="Y91:Y93"/>
    <mergeCell ref="M91:M93"/>
    <mergeCell ref="N91:N93"/>
    <mergeCell ref="D87:D90"/>
    <mergeCell ref="E110:E113"/>
    <mergeCell ref="AD58:AD59"/>
    <mergeCell ref="AD98:AD99"/>
    <mergeCell ref="Y52:Y53"/>
    <mergeCell ref="T62:T63"/>
    <mergeCell ref="F154:F155"/>
    <mergeCell ref="Z52:Z53"/>
    <mergeCell ref="AD945:AD946"/>
    <mergeCell ref="AK118:AK119"/>
    <mergeCell ref="AL118:AL119"/>
    <mergeCell ref="AM118:AM119"/>
    <mergeCell ref="AE73:AE74"/>
    <mergeCell ref="AF73:AF74"/>
    <mergeCell ref="AG73:AG74"/>
    <mergeCell ref="AJ73:AJ74"/>
    <mergeCell ref="F243:F244"/>
    <mergeCell ref="E243:E244"/>
    <mergeCell ref="D243:D244"/>
    <mergeCell ref="AG80:AG81"/>
    <mergeCell ref="AJ80:AJ81"/>
    <mergeCell ref="AF80:AF81"/>
    <mergeCell ref="AE80:AE81"/>
    <mergeCell ref="Y128:Y129"/>
    <mergeCell ref="Z128:Z129"/>
    <mergeCell ref="AA128:AA129"/>
    <mergeCell ref="R75:R76"/>
    <mergeCell ref="L84:L85"/>
    <mergeCell ref="AD94:AD95"/>
    <mergeCell ref="Y98:Y99"/>
    <mergeCell ref="N94:N97"/>
    <mergeCell ref="AD128:AD129"/>
    <mergeCell ref="M159:M165"/>
    <mergeCell ref="E136:E137"/>
    <mergeCell ref="A917:A920"/>
    <mergeCell ref="B917:B920"/>
    <mergeCell ref="C917:C920"/>
    <mergeCell ref="E917:E920"/>
    <mergeCell ref="A921:A922"/>
    <mergeCell ref="B921:B922"/>
    <mergeCell ref="C921:C922"/>
    <mergeCell ref="D921:D922"/>
    <mergeCell ref="D923:D924"/>
    <mergeCell ref="E923:E924"/>
    <mergeCell ref="F923:F924"/>
    <mergeCell ref="S923:S924"/>
    <mergeCell ref="T923:T924"/>
    <mergeCell ref="U923:U924"/>
    <mergeCell ref="X923:X924"/>
    <mergeCell ref="H840:H843"/>
    <mergeCell ref="X917:X918"/>
    <mergeCell ref="S919:S920"/>
    <mergeCell ref="T919:T920"/>
    <mergeCell ref="U919:U920"/>
    <mergeCell ref="X919:X920"/>
    <mergeCell ref="E913:E916"/>
    <mergeCell ref="E921:E922"/>
    <mergeCell ref="M867:M868"/>
    <mergeCell ref="A909:A912"/>
    <mergeCell ref="F913:F916"/>
    <mergeCell ref="A897:A900"/>
    <mergeCell ref="B891:B892"/>
    <mergeCell ref="B879:B882"/>
    <mergeCell ref="X921:X922"/>
    <mergeCell ref="O854:O855"/>
    <mergeCell ref="O858:O859"/>
    <mergeCell ref="R104:R105"/>
    <mergeCell ref="O110:O111"/>
    <mergeCell ref="T104:T107"/>
    <mergeCell ref="AE132:AE133"/>
    <mergeCell ref="AE464:AE465"/>
    <mergeCell ref="U464:U465"/>
    <mergeCell ref="Z98:Z99"/>
    <mergeCell ref="X91:X92"/>
    <mergeCell ref="U94:U95"/>
    <mergeCell ref="X94:X95"/>
    <mergeCell ref="R184:R186"/>
    <mergeCell ref="R170:R171"/>
    <mergeCell ref="R177:R178"/>
    <mergeCell ref="R175:R176"/>
    <mergeCell ref="S464:S465"/>
    <mergeCell ref="X240:X241"/>
    <mergeCell ref="U240:U241"/>
    <mergeCell ref="T240:T241"/>
    <mergeCell ref="U102:U103"/>
    <mergeCell ref="X102:X103"/>
    <mergeCell ref="U104:U105"/>
    <mergeCell ref="U184:U186"/>
    <mergeCell ref="O181:Q181"/>
    <mergeCell ref="AA177:AA178"/>
    <mergeCell ref="S240:S241"/>
    <mergeCell ref="AA184:AA186"/>
    <mergeCell ref="AA182:AA183"/>
    <mergeCell ref="O222:O223"/>
    <mergeCell ref="AE120:AE121"/>
    <mergeCell ref="AQ21:AQ22"/>
    <mergeCell ref="AF94:AF97"/>
    <mergeCell ref="AE94:AE97"/>
    <mergeCell ref="AD52:AD53"/>
    <mergeCell ref="D60:D61"/>
    <mergeCell ref="E84:E86"/>
    <mergeCell ref="D84:D86"/>
    <mergeCell ref="E67:E68"/>
    <mergeCell ref="E73:E74"/>
    <mergeCell ref="D73:D74"/>
    <mergeCell ref="E75:E79"/>
    <mergeCell ref="D75:D79"/>
    <mergeCell ref="F69:F72"/>
    <mergeCell ref="M87:M90"/>
    <mergeCell ref="G35:G39"/>
    <mergeCell ref="M94:M97"/>
    <mergeCell ref="O94:O95"/>
    <mergeCell ref="E60:E61"/>
    <mergeCell ref="O21:O22"/>
    <mergeCell ref="Y58:Y59"/>
    <mergeCell ref="Z58:Z59"/>
    <mergeCell ref="AQ25:AQ26"/>
    <mergeCell ref="AQ75:AQ76"/>
    <mergeCell ref="AQ44:AQ47"/>
    <mergeCell ref="F12:F31"/>
    <mergeCell ref="E12:E31"/>
    <mergeCell ref="F56:F57"/>
    <mergeCell ref="O25:O26"/>
    <mergeCell ref="E32:E34"/>
    <mergeCell ref="AJ75:AJ76"/>
    <mergeCell ref="U91:U92"/>
    <mergeCell ref="R25:R26"/>
    <mergeCell ref="O12:O13"/>
    <mergeCell ref="F75:F79"/>
    <mergeCell ref="S75:S76"/>
    <mergeCell ref="F35:F39"/>
    <mergeCell ref="C32:C34"/>
    <mergeCell ref="D42:D43"/>
    <mergeCell ref="C12:C31"/>
    <mergeCell ref="G19:G20"/>
    <mergeCell ref="F87:F90"/>
    <mergeCell ref="C87:C90"/>
    <mergeCell ref="R12:R13"/>
    <mergeCell ref="I32:I33"/>
    <mergeCell ref="R32:R33"/>
    <mergeCell ref="L12:L13"/>
    <mergeCell ref="R35:R36"/>
    <mergeCell ref="L44:L45"/>
    <mergeCell ref="C35:C39"/>
    <mergeCell ref="I19:I20"/>
    <mergeCell ref="L80:L81"/>
    <mergeCell ref="I69:I70"/>
    <mergeCell ref="S42:S43"/>
    <mergeCell ref="F52:F53"/>
    <mergeCell ref="G44:G47"/>
    <mergeCell ref="C80:C83"/>
    <mergeCell ref="C73:C74"/>
    <mergeCell ref="S62:S63"/>
    <mergeCell ref="O87:O88"/>
    <mergeCell ref="O75:O76"/>
    <mergeCell ref="T75:T76"/>
    <mergeCell ref="S94:S97"/>
    <mergeCell ref="AA75:AA76"/>
    <mergeCell ref="R87:R88"/>
    <mergeCell ref="O114:O115"/>
    <mergeCell ref="S114:S117"/>
    <mergeCell ref="R110:R111"/>
    <mergeCell ref="U48:U49"/>
    <mergeCell ref="T48:T49"/>
    <mergeCell ref="S48:S49"/>
    <mergeCell ref="X48:X49"/>
    <mergeCell ref="O32:O33"/>
    <mergeCell ref="H84:H86"/>
    <mergeCell ref="N87:N90"/>
    <mergeCell ref="AA67:AA68"/>
    <mergeCell ref="AD67:AD68"/>
    <mergeCell ref="U42:U43"/>
    <mergeCell ref="X42:X43"/>
    <mergeCell ref="U62:U63"/>
    <mergeCell ref="I84:I85"/>
    <mergeCell ref="AA52:AA53"/>
    <mergeCell ref="X75:X76"/>
    <mergeCell ref="Z75:Z76"/>
    <mergeCell ref="Y67:Y68"/>
    <mergeCell ref="Z67:Z68"/>
    <mergeCell ref="H44:H47"/>
    <mergeCell ref="M75:M79"/>
    <mergeCell ref="Y40:Y41"/>
    <mergeCell ref="Z40:Z41"/>
    <mergeCell ref="AA40:AA41"/>
    <mergeCell ref="AD40:AD41"/>
    <mergeCell ref="T110:T111"/>
    <mergeCell ref="AG181:AI181"/>
    <mergeCell ref="G167:I167"/>
    <mergeCell ref="G168:I168"/>
    <mergeCell ref="R21:R22"/>
    <mergeCell ref="X62:X63"/>
    <mergeCell ref="AA94:AA95"/>
    <mergeCell ref="U75:U76"/>
    <mergeCell ref="O35:O36"/>
    <mergeCell ref="F67:F68"/>
    <mergeCell ref="G84:G86"/>
    <mergeCell ref="O64:O65"/>
    <mergeCell ref="R64:R65"/>
    <mergeCell ref="F60:F61"/>
    <mergeCell ref="AA91:AA92"/>
    <mergeCell ref="S98:S99"/>
    <mergeCell ref="T98:T99"/>
    <mergeCell ref="U98:U99"/>
    <mergeCell ref="X98:X99"/>
    <mergeCell ref="U110:U111"/>
    <mergeCell ref="F108:F109"/>
    <mergeCell ref="F102:F103"/>
    <mergeCell ref="AA58:AA59"/>
    <mergeCell ref="U149:U150"/>
    <mergeCell ref="T94:T97"/>
    <mergeCell ref="AA98:AA99"/>
    <mergeCell ref="M110:M111"/>
    <mergeCell ref="N110:N111"/>
    <mergeCell ref="X110:X111"/>
    <mergeCell ref="T114:T117"/>
    <mergeCell ref="AG91:AG92"/>
    <mergeCell ref="I179:K179"/>
    <mergeCell ref="T42:T43"/>
    <mergeCell ref="AG94:AG95"/>
    <mergeCell ref="L190:L192"/>
    <mergeCell ref="AA190:AA192"/>
    <mergeCell ref="L154:L155"/>
    <mergeCell ref="M154:M155"/>
    <mergeCell ref="AE91:AE93"/>
    <mergeCell ref="AF91:AF93"/>
    <mergeCell ref="AG182:AG183"/>
    <mergeCell ref="AG177:AG178"/>
    <mergeCell ref="AG174:AI174"/>
    <mergeCell ref="AG193:AG195"/>
    <mergeCell ref="M211:M212"/>
    <mergeCell ref="Y94:Y97"/>
    <mergeCell ref="T847:T848"/>
    <mergeCell ref="O870:O871"/>
    <mergeCell ref="L700:L701"/>
    <mergeCell ref="I643:I644"/>
    <mergeCell ref="M556:M557"/>
    <mergeCell ref="N556:N557"/>
    <mergeCell ref="L554:L555"/>
    <mergeCell ref="M741:M742"/>
    <mergeCell ref="N854:N857"/>
    <mergeCell ref="Z759:Z765"/>
    <mergeCell ref="AD481:AD482"/>
    <mergeCell ref="S102:S103"/>
    <mergeCell ref="T102:T103"/>
    <mergeCell ref="X370:X371"/>
    <mergeCell ref="R114:R115"/>
    <mergeCell ref="AF122:AF123"/>
    <mergeCell ref="AE122:AE123"/>
    <mergeCell ref="N104:N107"/>
    <mergeCell ref="AG180:AI180"/>
    <mergeCell ref="S110:S111"/>
    <mergeCell ref="U114:U115"/>
    <mergeCell ref="X114:X115"/>
    <mergeCell ref="X154:X155"/>
    <mergeCell ref="I154:I155"/>
    <mergeCell ref="AD464:AD465"/>
    <mergeCell ref="AA464:AA465"/>
    <mergeCell ref="N741:N742"/>
    <mergeCell ref="L759:L760"/>
    <mergeCell ref="R741:R742"/>
    <mergeCell ref="O666:O667"/>
    <mergeCell ref="S149:S150"/>
    <mergeCell ref="T149:T150"/>
    <mergeCell ref="AD1009:AD1011"/>
    <mergeCell ref="U1009:U1011"/>
    <mergeCell ref="O556:O557"/>
    <mergeCell ref="L629:L630"/>
    <mergeCell ref="X759:X760"/>
    <mergeCell ref="O895:O896"/>
    <mergeCell ref="O847:O848"/>
    <mergeCell ref="M558:M560"/>
    <mergeCell ref="M883:M886"/>
    <mergeCell ref="O741:O742"/>
    <mergeCell ref="O700:O701"/>
    <mergeCell ref="M666:M669"/>
    <mergeCell ref="L666:L667"/>
    <mergeCell ref="U862:U863"/>
    <mergeCell ref="X909:X910"/>
    <mergeCell ref="O851:O852"/>
    <mergeCell ref="N849:N850"/>
    <mergeCell ref="N893:N894"/>
    <mergeCell ref="I332:I333"/>
    <mergeCell ref="M893:M894"/>
    <mergeCell ref="O879:O880"/>
    <mergeCell ref="N700:N701"/>
    <mergeCell ref="L643:L644"/>
    <mergeCell ref="O862:O863"/>
    <mergeCell ref="N862:N866"/>
    <mergeCell ref="N867:N868"/>
    <mergeCell ref="M862:M866"/>
    <mergeCell ref="R666:R667"/>
    <mergeCell ref="T862:T866"/>
    <mergeCell ref="T759:T765"/>
    <mergeCell ref="N870:N874"/>
    <mergeCell ref="M847:M848"/>
    <mergeCell ref="M858:M861"/>
    <mergeCell ref="H759:H765"/>
    <mergeCell ref="C666:C669"/>
    <mergeCell ref="F858:F861"/>
    <mergeCell ref="E879:E882"/>
    <mergeCell ref="M700:M701"/>
    <mergeCell ref="R862:R863"/>
    <mergeCell ref="N891:N892"/>
    <mergeCell ref="B420:B436"/>
    <mergeCell ref="E326:E331"/>
    <mergeCell ref="A142:A143"/>
    <mergeCell ref="B142:B143"/>
    <mergeCell ref="A170:H208"/>
    <mergeCell ref="D357:D358"/>
    <mergeCell ref="D895:D896"/>
    <mergeCell ref="A906:A908"/>
    <mergeCell ref="C893:C894"/>
    <mergeCell ref="H464:H465"/>
    <mergeCell ref="G643:G644"/>
    <mergeCell ref="D700:D701"/>
    <mergeCell ref="X1006:X1008"/>
    <mergeCell ref="U958:U960"/>
    <mergeCell ref="O997:O998"/>
    <mergeCell ref="U1001:U1002"/>
    <mergeCell ref="L490:L491"/>
    <mergeCell ref="M490:M493"/>
    <mergeCell ref="H603:H604"/>
    <mergeCell ref="I700:I701"/>
    <mergeCell ref="L732:L733"/>
    <mergeCell ref="L840:L841"/>
    <mergeCell ref="H643:H644"/>
    <mergeCell ref="I629:I630"/>
    <mergeCell ref="I732:I733"/>
    <mergeCell ref="I556:I557"/>
    <mergeCell ref="H554:H555"/>
    <mergeCell ref="H732:H734"/>
    <mergeCell ref="I603:I604"/>
    <mergeCell ref="H314:H316"/>
    <mergeCell ref="G159:G165"/>
    <mergeCell ref="H154:H155"/>
    <mergeCell ref="F118:F119"/>
    <mergeCell ref="C120:C121"/>
    <mergeCell ref="E118:E119"/>
    <mergeCell ref="A126:A127"/>
    <mergeCell ref="B67:B68"/>
    <mergeCell ref="B102:B103"/>
    <mergeCell ref="B108:B109"/>
    <mergeCell ref="D94:D97"/>
    <mergeCell ref="C94:C97"/>
    <mergeCell ref="B94:B97"/>
    <mergeCell ref="D128:D129"/>
    <mergeCell ref="C128:C129"/>
    <mergeCell ref="D122:D123"/>
    <mergeCell ref="F120:F121"/>
    <mergeCell ref="E64:E66"/>
    <mergeCell ref="B913:B916"/>
    <mergeCell ref="A913:A916"/>
    <mergeCell ref="F144:F148"/>
    <mergeCell ref="E144:E148"/>
    <mergeCell ref="A144:A148"/>
    <mergeCell ref="F138:F141"/>
    <mergeCell ref="E138:E141"/>
    <mergeCell ref="D138:D141"/>
    <mergeCell ref="C138:C141"/>
    <mergeCell ref="B138:B141"/>
    <mergeCell ref="A138:A141"/>
    <mergeCell ref="C840:C843"/>
    <mergeCell ref="F759:F765"/>
    <mergeCell ref="D858:D861"/>
    <mergeCell ref="B854:B857"/>
    <mergeCell ref="F94:F97"/>
    <mergeCell ref="D64:D66"/>
    <mergeCell ref="M25:M31"/>
    <mergeCell ref="D69:D72"/>
    <mergeCell ref="D12:D31"/>
    <mergeCell ref="D40:D41"/>
    <mergeCell ref="E98:E99"/>
    <mergeCell ref="A87:A90"/>
    <mergeCell ref="C42:C43"/>
    <mergeCell ref="A60:A61"/>
    <mergeCell ref="D56:D57"/>
    <mergeCell ref="D108:D109"/>
    <mergeCell ref="L19:L20"/>
    <mergeCell ref="C91:C93"/>
    <mergeCell ref="C50:C51"/>
    <mergeCell ref="E40:E41"/>
    <mergeCell ref="A94:A97"/>
    <mergeCell ref="I12:I13"/>
    <mergeCell ref="M64:M66"/>
    <mergeCell ref="B91:B93"/>
    <mergeCell ref="D32:D34"/>
    <mergeCell ref="D91:D93"/>
    <mergeCell ref="B84:B86"/>
    <mergeCell ref="A84:A86"/>
    <mergeCell ref="A80:A83"/>
    <mergeCell ref="F64:F66"/>
    <mergeCell ref="C67:C68"/>
    <mergeCell ref="D44:D49"/>
    <mergeCell ref="C44:C49"/>
    <mergeCell ref="B44:B49"/>
    <mergeCell ref="A44:A49"/>
    <mergeCell ref="B73:B74"/>
    <mergeCell ref="M104:M107"/>
    <mergeCell ref="E35:E39"/>
    <mergeCell ref="B12:B31"/>
    <mergeCell ref="C84:C86"/>
    <mergeCell ref="B222:B229"/>
    <mergeCell ref="B154:B155"/>
    <mergeCell ref="E154:E155"/>
    <mergeCell ref="C158:E158"/>
    <mergeCell ref="C240:C241"/>
    <mergeCell ref="B240:B241"/>
    <mergeCell ref="E159:E165"/>
    <mergeCell ref="F134:F135"/>
    <mergeCell ref="B124:B125"/>
    <mergeCell ref="D120:D121"/>
    <mergeCell ref="A154:A155"/>
    <mergeCell ref="F128:F129"/>
    <mergeCell ref="C154:C155"/>
    <mergeCell ref="A222:A229"/>
    <mergeCell ref="F240:F241"/>
    <mergeCell ref="C130:C131"/>
    <mergeCell ref="C56:C57"/>
    <mergeCell ref="D50:D51"/>
    <mergeCell ref="F42:F43"/>
    <mergeCell ref="F80:F83"/>
    <mergeCell ref="D80:D83"/>
    <mergeCell ref="F122:F123"/>
    <mergeCell ref="B35:B39"/>
    <mergeCell ref="B52:B53"/>
    <mergeCell ref="F32:F34"/>
    <mergeCell ref="A12:A31"/>
    <mergeCell ref="E52:E53"/>
    <mergeCell ref="F40:F41"/>
    <mergeCell ref="F91:F93"/>
    <mergeCell ref="A357:A358"/>
    <mergeCell ref="C124:C125"/>
    <mergeCell ref="F136:F137"/>
    <mergeCell ref="C326:C331"/>
    <mergeCell ref="C118:C119"/>
    <mergeCell ref="C159:C165"/>
    <mergeCell ref="E357:E358"/>
    <mergeCell ref="D222:D229"/>
    <mergeCell ref="C222:C229"/>
    <mergeCell ref="B326:B331"/>
    <mergeCell ref="C122:C123"/>
    <mergeCell ref="B132:B133"/>
    <mergeCell ref="E246:E313"/>
    <mergeCell ref="C142:C143"/>
    <mergeCell ref="C144:C148"/>
    <mergeCell ref="C126:C127"/>
    <mergeCell ref="A124:A125"/>
    <mergeCell ref="B130:B131"/>
    <mergeCell ref="B118:B119"/>
    <mergeCell ref="F124:F125"/>
    <mergeCell ref="E128:E129"/>
    <mergeCell ref="A246:A313"/>
    <mergeCell ref="A136:A137"/>
    <mergeCell ref="A118:A119"/>
    <mergeCell ref="D136:D137"/>
    <mergeCell ref="C132:C133"/>
    <mergeCell ref="A134:A135"/>
    <mergeCell ref="E142:E143"/>
    <mergeCell ref="C134:C135"/>
    <mergeCell ref="E134:E135"/>
    <mergeCell ref="D134:D135"/>
    <mergeCell ref="A240:A241"/>
    <mergeCell ref="AP128:AP129"/>
    <mergeCell ref="T138:T141"/>
    <mergeCell ref="T144:T148"/>
    <mergeCell ref="AP177:AP178"/>
    <mergeCell ref="AA154:AA155"/>
    <mergeCell ref="AK130:AK131"/>
    <mergeCell ref="AL130:AL131"/>
    <mergeCell ref="AM130:AM131"/>
    <mergeCell ref="AP130:AP131"/>
    <mergeCell ref="AM180:AO180"/>
    <mergeCell ref="AM187:AM189"/>
    <mergeCell ref="U187:U189"/>
    <mergeCell ref="AK134:AK135"/>
    <mergeCell ref="AL134:AL135"/>
    <mergeCell ref="AJ175:AJ176"/>
    <mergeCell ref="AJ177:AJ178"/>
    <mergeCell ref="AM184:AM186"/>
    <mergeCell ref="AG179:AI179"/>
    <mergeCell ref="AM182:AM183"/>
    <mergeCell ref="U180:W180"/>
    <mergeCell ref="U182:U183"/>
    <mergeCell ref="AA181:AC181"/>
    <mergeCell ref="AA172:AC172"/>
    <mergeCell ref="AA173:AC173"/>
    <mergeCell ref="AA180:AC180"/>
    <mergeCell ref="T154:T155"/>
    <mergeCell ref="Z136:Z137"/>
    <mergeCell ref="AA136:AA137"/>
    <mergeCell ref="AD136:AD137"/>
    <mergeCell ref="AP175:AP176"/>
    <mergeCell ref="AG187:AG189"/>
    <mergeCell ref="AJ187:AJ189"/>
    <mergeCell ref="AP190:AP192"/>
    <mergeCell ref="AG184:AG186"/>
    <mergeCell ref="AD175:AD176"/>
    <mergeCell ref="AD177:AD178"/>
    <mergeCell ref="S136:S137"/>
    <mergeCell ref="S138:S141"/>
    <mergeCell ref="S144:S148"/>
    <mergeCell ref="AP184:AP186"/>
    <mergeCell ref="O180:Q180"/>
    <mergeCell ref="X187:X189"/>
    <mergeCell ref="U154:U155"/>
    <mergeCell ref="AP170:AP171"/>
    <mergeCell ref="AJ190:AJ192"/>
    <mergeCell ref="AJ182:AJ183"/>
    <mergeCell ref="O175:O176"/>
    <mergeCell ref="U181:W181"/>
    <mergeCell ref="U175:U176"/>
    <mergeCell ref="R182:R183"/>
    <mergeCell ref="O187:O189"/>
    <mergeCell ref="AA170:AA171"/>
    <mergeCell ref="X175:X176"/>
    <mergeCell ref="Z154:Z155"/>
    <mergeCell ref="X142:X143"/>
    <mergeCell ref="X149:X150"/>
    <mergeCell ref="AG173:AI173"/>
    <mergeCell ref="AE151:AE152"/>
    <mergeCell ref="R159:R160"/>
    <mergeCell ref="U170:U171"/>
    <mergeCell ref="R154:R155"/>
    <mergeCell ref="O154:O155"/>
    <mergeCell ref="O172:Q172"/>
    <mergeCell ref="AA174:AC174"/>
    <mergeCell ref="A1:AP1"/>
    <mergeCell ref="A2:A4"/>
    <mergeCell ref="B2:B4"/>
    <mergeCell ref="C2:C4"/>
    <mergeCell ref="D2:D4"/>
    <mergeCell ref="E2:F3"/>
    <mergeCell ref="G2:L2"/>
    <mergeCell ref="M2:R2"/>
    <mergeCell ref="S2:X2"/>
    <mergeCell ref="Y2:AD2"/>
    <mergeCell ref="AE2:AJ2"/>
    <mergeCell ref="AK2:AP2"/>
    <mergeCell ref="F132:F133"/>
    <mergeCell ref="N114:N117"/>
    <mergeCell ref="C102:C103"/>
    <mergeCell ref="E102:E103"/>
    <mergeCell ref="AD154:AD155"/>
    <mergeCell ref="N154:N155"/>
    <mergeCell ref="AG132:AG133"/>
    <mergeCell ref="AF132:AF133"/>
    <mergeCell ref="AJ132:AJ133"/>
    <mergeCell ref="D142:D143"/>
    <mergeCell ref="C136:C137"/>
    <mergeCell ref="E120:E121"/>
    <mergeCell ref="D124:D125"/>
    <mergeCell ref="D118:D119"/>
    <mergeCell ref="E130:E131"/>
    <mergeCell ref="D130:D131"/>
    <mergeCell ref="D98:D99"/>
    <mergeCell ref="M3:N3"/>
    <mergeCell ref="O3:O4"/>
    <mergeCell ref="P3:Q3"/>
    <mergeCell ref="AG3:AG4"/>
    <mergeCell ref="AM170:AM171"/>
    <mergeCell ref="AD91:AD92"/>
    <mergeCell ref="C98:C99"/>
    <mergeCell ref="E132:E133"/>
    <mergeCell ref="E122:E123"/>
    <mergeCell ref="U144:U145"/>
    <mergeCell ref="X144:X145"/>
    <mergeCell ref="A108:A109"/>
    <mergeCell ref="AH3:AI3"/>
    <mergeCell ref="AK3:AL3"/>
    <mergeCell ref="AM3:AM4"/>
    <mergeCell ref="AN3:AO3"/>
    <mergeCell ref="U3:U4"/>
    <mergeCell ref="V3:W3"/>
    <mergeCell ref="Y3:Z3"/>
    <mergeCell ref="AA3:AA4"/>
    <mergeCell ref="AB3:AC3"/>
    <mergeCell ref="AJ170:AJ171"/>
    <mergeCell ref="AG122:AG123"/>
    <mergeCell ref="AL128:AL129"/>
    <mergeCell ref="AM128:AM129"/>
    <mergeCell ref="B126:B127"/>
    <mergeCell ref="A132:A133"/>
    <mergeCell ref="L170:L171"/>
    <mergeCell ref="A130:A131"/>
    <mergeCell ref="B144:B148"/>
    <mergeCell ref="F142:F143"/>
    <mergeCell ref="S154:S155"/>
    <mergeCell ref="F126:F127"/>
    <mergeCell ref="U136:U137"/>
    <mergeCell ref="H159:H165"/>
    <mergeCell ref="C357:C358"/>
    <mergeCell ref="D420:D436"/>
    <mergeCell ref="G436:I436"/>
    <mergeCell ref="H420:H423"/>
    <mergeCell ref="L193:L195"/>
    <mergeCell ref="G216:G218"/>
    <mergeCell ref="M420:M423"/>
    <mergeCell ref="N420:N423"/>
    <mergeCell ref="C420:C436"/>
    <mergeCell ref="I216:I217"/>
    <mergeCell ref="U173:W173"/>
    <mergeCell ref="O170:O171"/>
    <mergeCell ref="I334:I335"/>
    <mergeCell ref="N306:N309"/>
    <mergeCell ref="I170:I171"/>
    <mergeCell ref="E222:E229"/>
    <mergeCell ref="G222:G229"/>
    <mergeCell ref="L246:L247"/>
    <mergeCell ref="I222:I223"/>
    <mergeCell ref="I175:I176"/>
    <mergeCell ref="E216:E218"/>
    <mergeCell ref="I246:I247"/>
    <mergeCell ref="I357:I358"/>
    <mergeCell ref="C314:C316"/>
    <mergeCell ref="E314:E316"/>
    <mergeCell ref="I182:I183"/>
    <mergeCell ref="F216:F218"/>
    <mergeCell ref="U177:U178"/>
    <mergeCell ref="S370:S371"/>
    <mergeCell ref="O318:O319"/>
    <mergeCell ref="AE3:AF3"/>
    <mergeCell ref="G169:I169"/>
    <mergeCell ref="O177:O178"/>
    <mergeCell ref="O190:O192"/>
    <mergeCell ref="O174:Q174"/>
    <mergeCell ref="L184:L186"/>
    <mergeCell ref="L187:L189"/>
    <mergeCell ref="I190:I192"/>
    <mergeCell ref="O173:Q173"/>
    <mergeCell ref="I184:I186"/>
    <mergeCell ref="S142:S143"/>
    <mergeCell ref="U142:U143"/>
    <mergeCell ref="X170:X171"/>
    <mergeCell ref="L304:L305"/>
    <mergeCell ref="L332:L333"/>
    <mergeCell ref="M21:M24"/>
    <mergeCell ref="L32:L34"/>
    <mergeCell ref="H32:H34"/>
    <mergeCell ref="G32:G34"/>
    <mergeCell ref="R94:R95"/>
    <mergeCell ref="G69:G72"/>
    <mergeCell ref="H69:H72"/>
    <mergeCell ref="N75:N79"/>
    <mergeCell ref="S3:T3"/>
    <mergeCell ref="G154:G155"/>
    <mergeCell ref="A153:I153"/>
    <mergeCell ref="A216:A218"/>
    <mergeCell ref="M222:M229"/>
    <mergeCell ref="O211:O212"/>
    <mergeCell ref="AK128:AK129"/>
    <mergeCell ref="T91:T93"/>
    <mergeCell ref="S91:S93"/>
    <mergeCell ref="AG175:AG176"/>
    <mergeCell ref="X136:X137"/>
    <mergeCell ref="O9:O10"/>
    <mergeCell ref="AD170:AD171"/>
    <mergeCell ref="H19:H20"/>
    <mergeCell ref="N64:N66"/>
    <mergeCell ref="I172:K172"/>
    <mergeCell ref="A7:AQ7"/>
    <mergeCell ref="B8:F8"/>
    <mergeCell ref="R9:R10"/>
    <mergeCell ref="AJ122:AJ123"/>
    <mergeCell ref="AQ2:AQ4"/>
    <mergeCell ref="G3:H3"/>
    <mergeCell ref="I3:I4"/>
    <mergeCell ref="J3:K3"/>
    <mergeCell ref="B9:B11"/>
    <mergeCell ref="B60:B61"/>
    <mergeCell ref="B64:B66"/>
    <mergeCell ref="A64:A66"/>
    <mergeCell ref="F9:F11"/>
    <mergeCell ref="N32:N34"/>
    <mergeCell ref="M32:M34"/>
    <mergeCell ref="E9:E11"/>
    <mergeCell ref="H12:H15"/>
    <mergeCell ref="G12:G15"/>
    <mergeCell ref="N12:N15"/>
    <mergeCell ref="M12:M15"/>
    <mergeCell ref="N21:N24"/>
    <mergeCell ref="D159:D165"/>
    <mergeCell ref="AE847:AE848"/>
    <mergeCell ref="AA875:AA876"/>
    <mergeCell ref="S867:S869"/>
    <mergeCell ref="AJ481:AJ482"/>
    <mergeCell ref="AE481:AE482"/>
    <mergeCell ref="S862:S866"/>
    <mergeCell ref="AD759:AD760"/>
    <mergeCell ref="AE759:AE760"/>
    <mergeCell ref="AF759:AF760"/>
    <mergeCell ref="AD897:AD898"/>
    <mergeCell ref="AE887:AE890"/>
    <mergeCell ref="AF887:AF890"/>
    <mergeCell ref="AJ897:AJ898"/>
    <mergeCell ref="AG875:AG876"/>
    <mergeCell ref="AF481:AF482"/>
    <mergeCell ref="Z481:Z482"/>
    <mergeCell ref="Z875:Z878"/>
    <mergeCell ref="T891:T892"/>
    <mergeCell ref="T895:T896"/>
    <mergeCell ref="X867:X868"/>
    <mergeCell ref="AA847:AA848"/>
    <mergeCell ref="AJ759:AJ760"/>
    <mergeCell ref="AJ847:AJ848"/>
    <mergeCell ref="Y887:Y890"/>
    <mergeCell ref="U891:U892"/>
    <mergeCell ref="U895:U896"/>
    <mergeCell ref="AJ875:AJ876"/>
    <mergeCell ref="AG897:AG898"/>
    <mergeCell ref="AD887:AD888"/>
    <mergeCell ref="U893:U894"/>
    <mergeCell ref="S895:S896"/>
    <mergeCell ref="S893:S894"/>
    <mergeCell ref="AD847:AD848"/>
    <mergeCell ref="S870:S874"/>
    <mergeCell ref="X870:X871"/>
    <mergeCell ref="U875:U876"/>
    <mergeCell ref="R895:R896"/>
    <mergeCell ref="R887:R888"/>
    <mergeCell ref="R883:R884"/>
    <mergeCell ref="S897:S900"/>
    <mergeCell ref="T913:T916"/>
    <mergeCell ref="Z847:Z848"/>
    <mergeCell ref="U870:U871"/>
    <mergeCell ref="U847:U848"/>
    <mergeCell ref="X847:X848"/>
    <mergeCell ref="T867:T869"/>
    <mergeCell ref="S875:S878"/>
    <mergeCell ref="R847:R848"/>
    <mergeCell ref="S891:S892"/>
    <mergeCell ref="Y906:Y908"/>
    <mergeCell ref="AD906:AD907"/>
    <mergeCell ref="S847:S848"/>
    <mergeCell ref="R849:R850"/>
    <mergeCell ref="AD875:AD876"/>
    <mergeCell ref="U913:U914"/>
    <mergeCell ref="R851:R852"/>
    <mergeCell ref="U867:U868"/>
    <mergeCell ref="Y847:Y848"/>
    <mergeCell ref="X875:X876"/>
    <mergeCell ref="T870:T874"/>
    <mergeCell ref="R867:R868"/>
    <mergeCell ref="T875:T878"/>
    <mergeCell ref="Y875:Y878"/>
    <mergeCell ref="R870:R871"/>
    <mergeCell ref="O945:O946"/>
    <mergeCell ref="L945:L946"/>
    <mergeCell ref="N897:N900"/>
    <mergeCell ref="O897:O898"/>
    <mergeCell ref="N879:N882"/>
    <mergeCell ref="M895:M896"/>
    <mergeCell ref="Y901:Y905"/>
    <mergeCell ref="Z887:Z890"/>
    <mergeCell ref="S913:S916"/>
    <mergeCell ref="T909:T912"/>
    <mergeCell ref="U917:U918"/>
    <mergeCell ref="X943:X944"/>
    <mergeCell ref="X887:X888"/>
    <mergeCell ref="X891:X892"/>
    <mergeCell ref="N887:N890"/>
    <mergeCell ref="X945:X946"/>
    <mergeCell ref="X913:X914"/>
    <mergeCell ref="O938:O939"/>
    <mergeCell ref="N895:N896"/>
    <mergeCell ref="U901:U902"/>
    <mergeCell ref="Y921:Y922"/>
    <mergeCell ref="Z921:Z922"/>
    <mergeCell ref="Y897:Y900"/>
    <mergeCell ref="X895:X896"/>
    <mergeCell ref="X893:X894"/>
    <mergeCell ref="X897:X898"/>
    <mergeCell ref="Z906:Z908"/>
    <mergeCell ref="Z901:Z905"/>
    <mergeCell ref="X901:X902"/>
    <mergeCell ref="X906:X907"/>
    <mergeCell ref="O891:O892"/>
    <mergeCell ref="O893:O894"/>
    <mergeCell ref="T897:T900"/>
    <mergeCell ref="U938:U939"/>
    <mergeCell ref="R897:R898"/>
    <mergeCell ref="U949:U951"/>
    <mergeCell ref="R952:R954"/>
    <mergeCell ref="F883:F886"/>
    <mergeCell ref="L949:L951"/>
    <mergeCell ref="O947:O948"/>
    <mergeCell ref="N883:N886"/>
    <mergeCell ref="F891:F892"/>
    <mergeCell ref="O849:O850"/>
    <mergeCell ref="I943:I944"/>
    <mergeCell ref="F879:F882"/>
    <mergeCell ref="F887:F890"/>
    <mergeCell ref="D879:D882"/>
    <mergeCell ref="U759:U760"/>
    <mergeCell ref="R875:R876"/>
    <mergeCell ref="T906:T908"/>
    <mergeCell ref="S906:S908"/>
    <mergeCell ref="S909:S912"/>
    <mergeCell ref="I759:I760"/>
    <mergeCell ref="M849:M850"/>
    <mergeCell ref="I840:I841"/>
    <mergeCell ref="O867:O868"/>
    <mergeCell ref="O875:O876"/>
    <mergeCell ref="U897:U898"/>
    <mergeCell ref="R947:R948"/>
    <mergeCell ref="U952:U954"/>
    <mergeCell ref="N851:N853"/>
    <mergeCell ref="N875:N878"/>
    <mergeCell ref="U943:U944"/>
    <mergeCell ref="E883:E886"/>
    <mergeCell ref="AJ945:AJ946"/>
    <mergeCell ref="AP947:AP948"/>
    <mergeCell ref="F897:F900"/>
    <mergeCell ref="M887:M890"/>
    <mergeCell ref="F901:F905"/>
    <mergeCell ref="S917:S918"/>
    <mergeCell ref="T917:T918"/>
    <mergeCell ref="AF897:AF900"/>
    <mergeCell ref="AM938:AM939"/>
    <mergeCell ref="AP938:AP939"/>
    <mergeCell ref="AM943:AM944"/>
    <mergeCell ref="AA952:AA954"/>
    <mergeCell ref="O952:O954"/>
    <mergeCell ref="AD921:AD922"/>
    <mergeCell ref="AM947:AM948"/>
    <mergeCell ref="AM952:AM954"/>
    <mergeCell ref="D913:D916"/>
    <mergeCell ref="X952:X954"/>
    <mergeCell ref="R949:R951"/>
    <mergeCell ref="X947:X948"/>
    <mergeCell ref="X938:X939"/>
    <mergeCell ref="AG945:AG946"/>
    <mergeCell ref="AJ943:AJ944"/>
    <mergeCell ref="D909:D912"/>
    <mergeCell ref="R938:R939"/>
    <mergeCell ref="E901:E905"/>
    <mergeCell ref="D901:D905"/>
    <mergeCell ref="M897:M900"/>
    <mergeCell ref="AA921:AA922"/>
    <mergeCell ref="S921:S922"/>
    <mergeCell ref="T921:T922"/>
    <mergeCell ref="U921:U922"/>
    <mergeCell ref="A420:A436"/>
    <mergeCell ref="H326:H328"/>
    <mergeCell ref="G326:G328"/>
    <mergeCell ref="U174:W174"/>
    <mergeCell ref="A326:A331"/>
    <mergeCell ref="AA481:AA482"/>
    <mergeCell ref="O558:O559"/>
    <mergeCell ref="O603:O604"/>
    <mergeCell ref="Y481:Y482"/>
    <mergeCell ref="B216:B218"/>
    <mergeCell ref="A643:A644"/>
    <mergeCell ref="C490:C493"/>
    <mergeCell ref="C554:C560"/>
    <mergeCell ref="C481:C482"/>
    <mergeCell ref="C603:C604"/>
    <mergeCell ref="D481:D482"/>
    <mergeCell ref="F481:F482"/>
    <mergeCell ref="G486:G487"/>
    <mergeCell ref="A486:A487"/>
    <mergeCell ref="C486:C487"/>
    <mergeCell ref="A554:A560"/>
    <mergeCell ref="E486:E487"/>
    <mergeCell ref="G603:G604"/>
    <mergeCell ref="C643:C644"/>
    <mergeCell ref="A603:A604"/>
    <mergeCell ref="E603:E604"/>
    <mergeCell ref="B603:B604"/>
    <mergeCell ref="F603:F604"/>
    <mergeCell ref="R193:R195"/>
    <mergeCell ref="N222:N229"/>
    <mergeCell ref="D490:D493"/>
    <mergeCell ref="B554:B560"/>
    <mergeCell ref="AG847:AG848"/>
    <mergeCell ref="Z897:Z900"/>
    <mergeCell ref="U945:U946"/>
    <mergeCell ref="L952:L954"/>
    <mergeCell ref="L947:L948"/>
    <mergeCell ref="AG759:AG760"/>
    <mergeCell ref="AG943:AG944"/>
    <mergeCell ref="AG887:AG888"/>
    <mergeCell ref="AG938:AG939"/>
    <mergeCell ref="S759:S765"/>
    <mergeCell ref="R858:R859"/>
    <mergeCell ref="R854:R855"/>
    <mergeCell ref="M854:M857"/>
    <mergeCell ref="M759:M765"/>
    <mergeCell ref="O759:O760"/>
    <mergeCell ref="M875:M878"/>
    <mergeCell ref="AA947:AA948"/>
    <mergeCell ref="S901:S905"/>
    <mergeCell ref="AE897:AE900"/>
    <mergeCell ref="U947:U948"/>
    <mergeCell ref="AA943:AA944"/>
    <mergeCell ref="AD901:AD902"/>
    <mergeCell ref="AA938:AA939"/>
    <mergeCell ref="U909:U910"/>
    <mergeCell ref="U906:U907"/>
    <mergeCell ref="R893:R894"/>
    <mergeCell ref="O887:O888"/>
    <mergeCell ref="T893:T894"/>
    <mergeCell ref="AA897:AA898"/>
    <mergeCell ref="AD943:AD944"/>
    <mergeCell ref="AD952:AD954"/>
    <mergeCell ref="M879:M882"/>
    <mergeCell ref="AJ887:AJ888"/>
    <mergeCell ref="AA759:AA760"/>
    <mergeCell ref="AJ938:AJ939"/>
    <mergeCell ref="AE875:AE878"/>
    <mergeCell ref="AP1006:AP1008"/>
    <mergeCell ref="AP943:AP944"/>
    <mergeCell ref="AM945:AM946"/>
    <mergeCell ref="AD949:AD951"/>
    <mergeCell ref="AA949:AA951"/>
    <mergeCell ref="AM949:AM951"/>
    <mergeCell ref="X949:X951"/>
    <mergeCell ref="R945:R946"/>
    <mergeCell ref="R943:R944"/>
    <mergeCell ref="R891:R892"/>
    <mergeCell ref="R879:R880"/>
    <mergeCell ref="AP945:AP946"/>
    <mergeCell ref="AJ949:AJ951"/>
    <mergeCell ref="AA901:AA902"/>
    <mergeCell ref="AA887:AA888"/>
    <mergeCell ref="AP949:AP951"/>
    <mergeCell ref="AD947:AD948"/>
    <mergeCell ref="AG947:AG948"/>
    <mergeCell ref="AJ947:AJ948"/>
    <mergeCell ref="AD938:AD939"/>
    <mergeCell ref="U887:U888"/>
    <mergeCell ref="AA906:AA907"/>
    <mergeCell ref="T887:T890"/>
    <mergeCell ref="AA945:AA946"/>
    <mergeCell ref="T901:T905"/>
    <mergeCell ref="AF875:AF878"/>
    <mergeCell ref="AG949:AG951"/>
    <mergeCell ref="AF847:AF848"/>
    <mergeCell ref="AG952:AG954"/>
    <mergeCell ref="AG1006:AG1008"/>
    <mergeCell ref="AM1006:AM1008"/>
    <mergeCell ref="AD1050:AD1051"/>
    <mergeCell ref="AA992:AA993"/>
    <mergeCell ref="AP958:AP960"/>
    <mergeCell ref="AJ952:AJ954"/>
    <mergeCell ref="AP952:AP954"/>
    <mergeCell ref="AD1001:AD1002"/>
    <mergeCell ref="AA1001:AA1002"/>
    <mergeCell ref="AA1003:AA1005"/>
    <mergeCell ref="AM958:AM960"/>
    <mergeCell ref="AD1006:AD1008"/>
    <mergeCell ref="AJ1009:AJ1011"/>
    <mergeCell ref="AG1009:AG1011"/>
    <mergeCell ref="AA1052:AA1053"/>
    <mergeCell ref="AJ1052:AJ1053"/>
    <mergeCell ref="AD1003:AD1005"/>
    <mergeCell ref="AP1050:AP1051"/>
    <mergeCell ref="AJ958:AJ960"/>
    <mergeCell ref="AA997:AA998"/>
    <mergeCell ref="AG992:AG993"/>
    <mergeCell ref="AD955:AD957"/>
    <mergeCell ref="AJ999:AJ1000"/>
    <mergeCell ref="AA1009:AA1011"/>
    <mergeCell ref="A1042:AP1042"/>
    <mergeCell ref="AM1003:AM1005"/>
    <mergeCell ref="R1050:R1051"/>
    <mergeCell ref="AM1009:AM1011"/>
    <mergeCell ref="AJ1050:AJ1051"/>
    <mergeCell ref="R1003:R1005"/>
    <mergeCell ref="R1006:R1008"/>
    <mergeCell ref="AP1012:AP1014"/>
    <mergeCell ref="AJ1012:AJ1014"/>
    <mergeCell ref="AP1009:AP1011"/>
    <mergeCell ref="R1012:R1014"/>
    <mergeCell ref="AD1012:AD1014"/>
    <mergeCell ref="AA1006:AA1008"/>
    <mergeCell ref="AJ955:AJ957"/>
    <mergeCell ref="AG999:AG1000"/>
    <mergeCell ref="R999:R1000"/>
    <mergeCell ref="X1003:X1005"/>
    <mergeCell ref="X997:X998"/>
    <mergeCell ref="R955:R957"/>
    <mergeCell ref="AD992:AD993"/>
    <mergeCell ref="AM999:AM1000"/>
    <mergeCell ref="AP1001:AP1002"/>
    <mergeCell ref="AP999:AP1000"/>
    <mergeCell ref="R992:R993"/>
    <mergeCell ref="X1009:X1011"/>
    <mergeCell ref="AD997:AD998"/>
    <mergeCell ref="AG955:AG957"/>
    <mergeCell ref="AP997:AP998"/>
    <mergeCell ref="AP992:AP993"/>
    <mergeCell ref="U999:U1000"/>
    <mergeCell ref="AA958:AA960"/>
    <mergeCell ref="AJ992:AJ993"/>
    <mergeCell ref="R1001:R1002"/>
    <mergeCell ref="X958:X960"/>
    <mergeCell ref="X1001:X1002"/>
    <mergeCell ref="AM997:AM998"/>
    <mergeCell ref="AM992:AM993"/>
    <mergeCell ref="AM1012:AM1014"/>
    <mergeCell ref="AD999:AD1000"/>
    <mergeCell ref="X992:X993"/>
    <mergeCell ref="I997:I998"/>
    <mergeCell ref="U1050:U1051"/>
    <mergeCell ref="R1052:R1053"/>
    <mergeCell ref="X1052:X1053"/>
    <mergeCell ref="X1054:X1055"/>
    <mergeCell ref="X1012:X1014"/>
    <mergeCell ref="U1012:U1014"/>
    <mergeCell ref="AM1001:AM1002"/>
    <mergeCell ref="AA1012:AA1014"/>
    <mergeCell ref="AG997:AG998"/>
    <mergeCell ref="R997:R998"/>
    <mergeCell ref="AG1012:AG1014"/>
    <mergeCell ref="AM1050:AM1051"/>
    <mergeCell ref="AA955:AA957"/>
    <mergeCell ref="AM1052:AM1053"/>
    <mergeCell ref="R1054:R1055"/>
    <mergeCell ref="U1054:U1055"/>
    <mergeCell ref="AG958:AG960"/>
    <mergeCell ref="AJ997:AJ998"/>
    <mergeCell ref="U992:U993"/>
    <mergeCell ref="U1006:U1008"/>
    <mergeCell ref="U997:U998"/>
    <mergeCell ref="R1009:R1011"/>
    <mergeCell ref="O992:O993"/>
    <mergeCell ref="X999:X1000"/>
    <mergeCell ref="AJ1006:AJ1008"/>
    <mergeCell ref="AD958:AD960"/>
    <mergeCell ref="AJ1001:AJ1002"/>
    <mergeCell ref="AG1001:AG1002"/>
    <mergeCell ref="AG1003:AG1005"/>
    <mergeCell ref="O1009:O1011"/>
    <mergeCell ref="AJ1061:AJ1063"/>
    <mergeCell ref="AD1064:AD1066"/>
    <mergeCell ref="A1083:AQ1083"/>
    <mergeCell ref="E1086:E1087"/>
    <mergeCell ref="AA1064:AA1066"/>
    <mergeCell ref="AG1061:AG1063"/>
    <mergeCell ref="AG1064:AG1066"/>
    <mergeCell ref="AJ1064:AJ1066"/>
    <mergeCell ref="D1086:D1087"/>
    <mergeCell ref="AG1052:AG1053"/>
    <mergeCell ref="U955:U957"/>
    <mergeCell ref="A1041:AQ1041"/>
    <mergeCell ref="N1044:N1045"/>
    <mergeCell ref="U1003:U1005"/>
    <mergeCell ref="L1001:L1002"/>
    <mergeCell ref="O1006:O1008"/>
    <mergeCell ref="AM955:AM957"/>
    <mergeCell ref="AP955:AP957"/>
    <mergeCell ref="AJ1003:AJ1005"/>
    <mergeCell ref="AP1003:AP1005"/>
    <mergeCell ref="R1044:R1045"/>
    <mergeCell ref="AD1054:AD1055"/>
    <mergeCell ref="AP1052:AP1053"/>
    <mergeCell ref="AP1054:AP1055"/>
    <mergeCell ref="B1046:F1046"/>
    <mergeCell ref="O1012:O1014"/>
    <mergeCell ref="L999:L1000"/>
    <mergeCell ref="I1003:I1005"/>
    <mergeCell ref="AG1050:AG1051"/>
    <mergeCell ref="AA999:AA1000"/>
    <mergeCell ref="R958:R960"/>
    <mergeCell ref="X955:X957"/>
    <mergeCell ref="U1056:U1057"/>
    <mergeCell ref="R1058:R1060"/>
    <mergeCell ref="R1061:R1063"/>
    <mergeCell ref="L1056:L1057"/>
    <mergeCell ref="AJ1054:AJ1055"/>
    <mergeCell ref="AA1050:AA1051"/>
    <mergeCell ref="AD1052:AD1053"/>
    <mergeCell ref="AM1118:AM1120"/>
    <mergeCell ref="X1064:X1066"/>
    <mergeCell ref="U1104:U1105"/>
    <mergeCell ref="AA1104:AA1105"/>
    <mergeCell ref="L1104:L1105"/>
    <mergeCell ref="U1108:U1109"/>
    <mergeCell ref="AA1108:AA1109"/>
    <mergeCell ref="X1104:X1105"/>
    <mergeCell ref="AD1104:AD1105"/>
    <mergeCell ref="R1110:R1111"/>
    <mergeCell ref="L1115:L1117"/>
    <mergeCell ref="AA1118:AA1120"/>
    <mergeCell ref="AD1106:AD1107"/>
    <mergeCell ref="O1115:O1117"/>
    <mergeCell ref="R1115:R1117"/>
    <mergeCell ref="O1112:O1114"/>
    <mergeCell ref="AM1056:AM1057"/>
    <mergeCell ref="AD1058:AD1060"/>
    <mergeCell ref="AJ1058:AJ1060"/>
    <mergeCell ref="X1058:X1060"/>
    <mergeCell ref="U1067:U1069"/>
    <mergeCell ref="AD1061:AD1063"/>
    <mergeCell ref="AM1058:AM1060"/>
    <mergeCell ref="AG1058:AG1060"/>
    <mergeCell ref="U1061:U1063"/>
    <mergeCell ref="AP1118:AP1120"/>
    <mergeCell ref="O1067:O1069"/>
    <mergeCell ref="AM1104:AM1105"/>
    <mergeCell ref="A1094:A1095"/>
    <mergeCell ref="AG1106:AG1107"/>
    <mergeCell ref="A1098:A1099"/>
    <mergeCell ref="B1098:B1099"/>
    <mergeCell ref="C1098:C1099"/>
    <mergeCell ref="B1094:B1095"/>
    <mergeCell ref="C1094:C1095"/>
    <mergeCell ref="F1098:F1099"/>
    <mergeCell ref="E1098:E1099"/>
    <mergeCell ref="E1088:E1089"/>
    <mergeCell ref="F1088:F1089"/>
    <mergeCell ref="A1090:A1091"/>
    <mergeCell ref="B1090:B1091"/>
    <mergeCell ref="F1086:F1087"/>
    <mergeCell ref="X1067:X1069"/>
    <mergeCell ref="A1104:H1136"/>
    <mergeCell ref="U1118:U1120"/>
    <mergeCell ref="AJ1108:AJ1109"/>
    <mergeCell ref="AA1112:AA1114"/>
    <mergeCell ref="AD1112:AD1114"/>
    <mergeCell ref="AA1115:AA1117"/>
    <mergeCell ref="AD1115:AD1117"/>
    <mergeCell ref="Y1100:Y1101"/>
    <mergeCell ref="Z1100:Z1101"/>
    <mergeCell ref="AA1100:AA1101"/>
    <mergeCell ref="AD1100:AD1101"/>
    <mergeCell ref="Z1090:Z1091"/>
    <mergeCell ref="AA1090:AA1091"/>
    <mergeCell ref="AD1090:AD1091"/>
    <mergeCell ref="AD1121:AD1123"/>
    <mergeCell ref="X1121:X1123"/>
    <mergeCell ref="U1121:U1123"/>
    <mergeCell ref="R1112:R1114"/>
    <mergeCell ref="O1108:O1109"/>
    <mergeCell ref="O1106:O1107"/>
    <mergeCell ref="O1110:O1111"/>
    <mergeCell ref="U1110:U1111"/>
    <mergeCell ref="AJ1115:AJ1117"/>
    <mergeCell ref="AJ1106:AJ1107"/>
    <mergeCell ref="X1110:X1111"/>
    <mergeCell ref="U1112:U1114"/>
    <mergeCell ref="X1112:X1114"/>
    <mergeCell ref="AG1112:AG1114"/>
    <mergeCell ref="I1110:I1111"/>
    <mergeCell ref="AM1121:AM1123"/>
    <mergeCell ref="AM1112:AM1114"/>
    <mergeCell ref="X1106:X1107"/>
    <mergeCell ref="R1106:R1107"/>
    <mergeCell ref="X1115:X1117"/>
    <mergeCell ref="U1115:U1117"/>
    <mergeCell ref="AG1118:AG1120"/>
    <mergeCell ref="X1108:X1109"/>
    <mergeCell ref="I1108:I1109"/>
    <mergeCell ref="AJ1110:AJ1111"/>
    <mergeCell ref="AJ1112:AJ1114"/>
    <mergeCell ref="AG1115:AG1117"/>
    <mergeCell ref="AA1110:AA1111"/>
    <mergeCell ref="AG1108:AG1109"/>
    <mergeCell ref="I1118:I1120"/>
    <mergeCell ref="I1106:I1107"/>
    <mergeCell ref="AP1121:AP1123"/>
    <mergeCell ref="A1088:A1089"/>
    <mergeCell ref="AM1115:AM1117"/>
    <mergeCell ref="AP1115:AP1117"/>
    <mergeCell ref="AM1106:AM1107"/>
    <mergeCell ref="AM1108:AM1109"/>
    <mergeCell ref="AJ1118:AJ1120"/>
    <mergeCell ref="AG1121:AG1123"/>
    <mergeCell ref="AJ1121:AJ1123"/>
    <mergeCell ref="AA1106:AA1107"/>
    <mergeCell ref="R1108:R1109"/>
    <mergeCell ref="AM1110:AM1111"/>
    <mergeCell ref="AG1110:AG1111"/>
    <mergeCell ref="L1106:L1107"/>
    <mergeCell ref="O1104:O1105"/>
    <mergeCell ref="U1106:U1107"/>
    <mergeCell ref="AD1118:AD1120"/>
    <mergeCell ref="O1118:O1120"/>
    <mergeCell ref="R1118:R1120"/>
    <mergeCell ref="O1121:O1123"/>
    <mergeCell ref="R1121:R1123"/>
    <mergeCell ref="AA1121:AA1123"/>
    <mergeCell ref="X1118:X1120"/>
    <mergeCell ref="L1118:L1120"/>
    <mergeCell ref="I1121:I1123"/>
    <mergeCell ref="L1121:L1123"/>
    <mergeCell ref="I1112:I1114"/>
    <mergeCell ref="L1112:L1114"/>
    <mergeCell ref="I1115:I1117"/>
    <mergeCell ref="AP1104:AP1105"/>
    <mergeCell ref="AP1106:AP1107"/>
    <mergeCell ref="AP1108:AP1109"/>
    <mergeCell ref="AM1061:AM1063"/>
    <mergeCell ref="AP1061:AP1063"/>
    <mergeCell ref="X1056:X1057"/>
    <mergeCell ref="AA1056:AA1057"/>
    <mergeCell ref="U1058:U1060"/>
    <mergeCell ref="AD1067:AD1069"/>
    <mergeCell ref="AA1067:AA1069"/>
    <mergeCell ref="O1064:O1066"/>
    <mergeCell ref="AA1058:AA1060"/>
    <mergeCell ref="AM1054:AM1055"/>
    <mergeCell ref="AP1064:AP1066"/>
    <mergeCell ref="AP1056:AP1057"/>
    <mergeCell ref="AM1064:AM1066"/>
    <mergeCell ref="AJ1104:AJ1105"/>
    <mergeCell ref="U1052:U1053"/>
    <mergeCell ref="O1050:O1051"/>
    <mergeCell ref="L1061:L1063"/>
    <mergeCell ref="Y1090:Y1091"/>
    <mergeCell ref="R1067:R1069"/>
    <mergeCell ref="AG1067:AG1069"/>
    <mergeCell ref="R1104:R1105"/>
    <mergeCell ref="AG1104:AG1105"/>
    <mergeCell ref="O1054:O1055"/>
    <mergeCell ref="O1056:O1057"/>
    <mergeCell ref="AA1054:AA1055"/>
    <mergeCell ref="AG1054:AG1055"/>
    <mergeCell ref="R1056:R1057"/>
    <mergeCell ref="X1061:X1063"/>
    <mergeCell ref="AA1061:AA1063"/>
    <mergeCell ref="AJ1056:AJ1057"/>
    <mergeCell ref="AJ1067:AJ1069"/>
    <mergeCell ref="AD1056:AD1057"/>
    <mergeCell ref="AP1110:AP1111"/>
    <mergeCell ref="AG1056:AG1057"/>
    <mergeCell ref="U1064:U1066"/>
    <mergeCell ref="AM1067:AM1069"/>
    <mergeCell ref="AP1058:AP1060"/>
    <mergeCell ref="C887:C890"/>
    <mergeCell ref="D887:D890"/>
    <mergeCell ref="D917:D920"/>
    <mergeCell ref="E897:E900"/>
    <mergeCell ref="I955:I957"/>
    <mergeCell ref="I1061:I1063"/>
    <mergeCell ref="I1054:I1055"/>
    <mergeCell ref="A992:H1040"/>
    <mergeCell ref="B1043:F1043"/>
    <mergeCell ref="I1001:I1002"/>
    <mergeCell ref="B1086:B1087"/>
    <mergeCell ref="L992:L993"/>
    <mergeCell ref="I958:I960"/>
    <mergeCell ref="R1064:R1066"/>
    <mergeCell ref="O949:O951"/>
    <mergeCell ref="O1052:O1053"/>
    <mergeCell ref="B1088:B1089"/>
    <mergeCell ref="C1088:C1089"/>
    <mergeCell ref="D1088:D1089"/>
    <mergeCell ref="I996:K996"/>
    <mergeCell ref="D906:D908"/>
    <mergeCell ref="C906:C908"/>
    <mergeCell ref="B906:B908"/>
    <mergeCell ref="G936:I936"/>
    <mergeCell ref="I947:I948"/>
    <mergeCell ref="L1050:L1051"/>
    <mergeCell ref="L1054:L1055"/>
    <mergeCell ref="AP1112:AP1114"/>
    <mergeCell ref="AD1108:AD1109"/>
    <mergeCell ref="AD1110:AD1111"/>
    <mergeCell ref="L1108:L1109"/>
    <mergeCell ref="L1110:L1111"/>
    <mergeCell ref="AP1067:AP1069"/>
    <mergeCell ref="O1058:O1060"/>
    <mergeCell ref="I1050:I1051"/>
    <mergeCell ref="A1050:H1082"/>
    <mergeCell ref="L1058:L1060"/>
    <mergeCell ref="I1012:I1014"/>
    <mergeCell ref="A1086:A1087"/>
    <mergeCell ref="L1009:L1011"/>
    <mergeCell ref="L1064:L1066"/>
    <mergeCell ref="F1044:F1045"/>
    <mergeCell ref="M1044:M1045"/>
    <mergeCell ref="L1012:L1014"/>
    <mergeCell ref="L1052:L1053"/>
    <mergeCell ref="I1067:I1069"/>
    <mergeCell ref="O1061:O1063"/>
    <mergeCell ref="A1084:AP1084"/>
    <mergeCell ref="A1044:A1045"/>
    <mergeCell ref="L1067:L1069"/>
    <mergeCell ref="D1044:D1045"/>
    <mergeCell ref="X1050:X1051"/>
    <mergeCell ref="I1104:I1105"/>
    <mergeCell ref="F1096:F1097"/>
    <mergeCell ref="F1094:F1095"/>
    <mergeCell ref="B1093:F1093"/>
    <mergeCell ref="A1096:A1097"/>
    <mergeCell ref="D1098:D1099"/>
    <mergeCell ref="C1044:C1045"/>
    <mergeCell ref="B1085:F1085"/>
    <mergeCell ref="B1044:B1045"/>
    <mergeCell ref="A893:A894"/>
    <mergeCell ref="A938:H973"/>
    <mergeCell ref="C913:C916"/>
    <mergeCell ref="I1006:I1008"/>
    <mergeCell ref="D893:D894"/>
    <mergeCell ref="E893:E894"/>
    <mergeCell ref="B897:B900"/>
    <mergeCell ref="C895:C896"/>
    <mergeCell ref="D897:D900"/>
    <mergeCell ref="I994:K994"/>
    <mergeCell ref="I995:K995"/>
    <mergeCell ref="A928:A929"/>
    <mergeCell ref="B928:B929"/>
    <mergeCell ref="C928:C929"/>
    <mergeCell ref="D928:D929"/>
    <mergeCell ref="E928:E929"/>
    <mergeCell ref="F928:F929"/>
    <mergeCell ref="E1044:E1045"/>
    <mergeCell ref="I1009:I1011"/>
    <mergeCell ref="E895:E896"/>
    <mergeCell ref="G937:I937"/>
    <mergeCell ref="I952:I954"/>
    <mergeCell ref="A901:A905"/>
    <mergeCell ref="F909:F912"/>
    <mergeCell ref="F893:F894"/>
    <mergeCell ref="C909:C912"/>
    <mergeCell ref="B909:B912"/>
    <mergeCell ref="I1052:I1053"/>
    <mergeCell ref="I1058:I1060"/>
    <mergeCell ref="I1064:I1066"/>
    <mergeCell ref="L1003:L1005"/>
    <mergeCell ref="L938:L939"/>
    <mergeCell ref="B901:B905"/>
    <mergeCell ref="O943:O944"/>
    <mergeCell ref="O955:O957"/>
    <mergeCell ref="C901:C905"/>
    <mergeCell ref="O1044:O1045"/>
    <mergeCell ref="A1103:D1103"/>
    <mergeCell ref="B1096:B1097"/>
    <mergeCell ref="I938:I939"/>
    <mergeCell ref="I940:K940"/>
    <mergeCell ref="I941:K941"/>
    <mergeCell ref="G935:I935"/>
    <mergeCell ref="C1090:C1091"/>
    <mergeCell ref="D1090:D1091"/>
    <mergeCell ref="E1090:E1091"/>
    <mergeCell ref="F1090:F1091"/>
    <mergeCell ref="O999:O1000"/>
    <mergeCell ref="O1003:O1005"/>
    <mergeCell ref="O958:O960"/>
    <mergeCell ref="O1001:O1002"/>
    <mergeCell ref="A1049:D1049"/>
    <mergeCell ref="G990:I990"/>
    <mergeCell ref="I992:I993"/>
    <mergeCell ref="I942:K942"/>
    <mergeCell ref="L958:L960"/>
    <mergeCell ref="A923:A924"/>
    <mergeCell ref="B923:B924"/>
    <mergeCell ref="C923:C924"/>
    <mergeCell ref="E909:E912"/>
    <mergeCell ref="C1086:C1087"/>
    <mergeCell ref="I1056:I1057"/>
    <mergeCell ref="L1006:L1008"/>
    <mergeCell ref="F917:F920"/>
    <mergeCell ref="F906:F908"/>
    <mergeCell ref="E906:E908"/>
    <mergeCell ref="I999:I1000"/>
    <mergeCell ref="I945:I946"/>
    <mergeCell ref="A934:D934"/>
    <mergeCell ref="L943:L944"/>
    <mergeCell ref="C891:C892"/>
    <mergeCell ref="D891:D892"/>
    <mergeCell ref="E891:E892"/>
    <mergeCell ref="B851:B853"/>
    <mergeCell ref="A870:A874"/>
    <mergeCell ref="E875:E878"/>
    <mergeCell ref="D875:D878"/>
    <mergeCell ref="C851:C853"/>
    <mergeCell ref="C854:C857"/>
    <mergeCell ref="E870:E874"/>
    <mergeCell ref="D870:D874"/>
    <mergeCell ref="C870:C874"/>
    <mergeCell ref="B870:B874"/>
    <mergeCell ref="C867:C869"/>
    <mergeCell ref="B867:B869"/>
    <mergeCell ref="L997:L998"/>
    <mergeCell ref="G991:I991"/>
    <mergeCell ref="A988:D988"/>
    <mergeCell ref="E887:E890"/>
    <mergeCell ref="C897:C900"/>
    <mergeCell ref="F921:F922"/>
    <mergeCell ref="L955:L957"/>
    <mergeCell ref="I949:I951"/>
    <mergeCell ref="G989:I989"/>
    <mergeCell ref="A875:A878"/>
    <mergeCell ref="A862:A866"/>
    <mergeCell ref="E854:E857"/>
    <mergeCell ref="F895:F896"/>
    <mergeCell ref="B887:B890"/>
    <mergeCell ref="A895:A896"/>
    <mergeCell ref="B895:B896"/>
    <mergeCell ref="A891:A892"/>
    <mergeCell ref="A887:A890"/>
    <mergeCell ref="B741:B742"/>
    <mergeCell ref="B840:B843"/>
    <mergeCell ref="D840:D843"/>
    <mergeCell ref="A883:A886"/>
    <mergeCell ref="E858:E861"/>
    <mergeCell ref="C741:C742"/>
    <mergeCell ref="C858:C861"/>
    <mergeCell ref="B858:B861"/>
    <mergeCell ref="A840:A843"/>
    <mergeCell ref="E862:E866"/>
    <mergeCell ref="D862:D866"/>
    <mergeCell ref="E840:E843"/>
    <mergeCell ref="E847:E848"/>
    <mergeCell ref="B759:B765"/>
    <mergeCell ref="A759:A765"/>
    <mergeCell ref="A851:A853"/>
    <mergeCell ref="C847:C848"/>
    <mergeCell ref="A854:A857"/>
    <mergeCell ref="C883:C886"/>
    <mergeCell ref="D883:D886"/>
    <mergeCell ref="D854:D857"/>
    <mergeCell ref="B893:B894"/>
    <mergeCell ref="C875:C878"/>
    <mergeCell ref="B883:B886"/>
    <mergeCell ref="C879:C882"/>
    <mergeCell ref="E851:E853"/>
    <mergeCell ref="A879:A882"/>
    <mergeCell ref="B875:B878"/>
    <mergeCell ref="D666:D669"/>
    <mergeCell ref="A867:A869"/>
    <mergeCell ref="B666:B669"/>
    <mergeCell ref="A858:A861"/>
    <mergeCell ref="D851:D853"/>
    <mergeCell ref="A700:A701"/>
    <mergeCell ref="A741:A745"/>
    <mergeCell ref="A732:A734"/>
    <mergeCell ref="F741:F742"/>
    <mergeCell ref="C759:C765"/>
    <mergeCell ref="A666:A669"/>
    <mergeCell ref="A847:A848"/>
    <mergeCell ref="D847:D848"/>
    <mergeCell ref="F847:F848"/>
    <mergeCell ref="B849:B850"/>
    <mergeCell ref="C849:C850"/>
    <mergeCell ref="D849:D850"/>
    <mergeCell ref="E849:E850"/>
    <mergeCell ref="E700:E701"/>
    <mergeCell ref="D741:D742"/>
    <mergeCell ref="F851:F853"/>
    <mergeCell ref="F849:F850"/>
    <mergeCell ref="E732:E734"/>
    <mergeCell ref="C700:C701"/>
    <mergeCell ref="B700:B701"/>
    <mergeCell ref="C732:C734"/>
    <mergeCell ref="A849:A850"/>
    <mergeCell ref="B862:B866"/>
    <mergeCell ref="E867:E869"/>
    <mergeCell ref="D867:D869"/>
    <mergeCell ref="G629:G632"/>
    <mergeCell ref="E643:E644"/>
    <mergeCell ref="F643:F644"/>
    <mergeCell ref="G554:G555"/>
    <mergeCell ref="B732:B734"/>
    <mergeCell ref="D643:D644"/>
    <mergeCell ref="A490:A493"/>
    <mergeCell ref="F471:F472"/>
    <mergeCell ref="A481:A482"/>
    <mergeCell ref="G434:I434"/>
    <mergeCell ref="A629:A632"/>
    <mergeCell ref="B629:B632"/>
    <mergeCell ref="D629:D632"/>
    <mergeCell ref="I486:I487"/>
    <mergeCell ref="I666:I667"/>
    <mergeCell ref="H666:H669"/>
    <mergeCell ref="H629:H632"/>
    <mergeCell ref="B847:B848"/>
    <mergeCell ref="F840:F843"/>
    <mergeCell ref="F867:F869"/>
    <mergeCell ref="B481:B482"/>
    <mergeCell ref="E759:E765"/>
    <mergeCell ref="D471:D472"/>
    <mergeCell ref="F420:F436"/>
    <mergeCell ref="F666:F669"/>
    <mergeCell ref="D732:D734"/>
    <mergeCell ref="E741:E742"/>
    <mergeCell ref="E554:E560"/>
    <mergeCell ref="B486:B487"/>
    <mergeCell ref="B349:B350"/>
    <mergeCell ref="B246:B313"/>
    <mergeCell ref="F464:F465"/>
    <mergeCell ref="L420:L421"/>
    <mergeCell ref="H329:H331"/>
    <mergeCell ref="G429:I429"/>
    <mergeCell ref="F732:F734"/>
    <mergeCell ref="F700:F701"/>
    <mergeCell ref="G349:G350"/>
    <mergeCell ref="H471:H472"/>
    <mergeCell ref="D486:D487"/>
    <mergeCell ref="D464:D465"/>
    <mergeCell ref="F629:F632"/>
    <mergeCell ref="H481:H482"/>
    <mergeCell ref="D603:D604"/>
    <mergeCell ref="F349:F350"/>
    <mergeCell ref="G332:G333"/>
    <mergeCell ref="G666:G669"/>
    <mergeCell ref="G732:G734"/>
    <mergeCell ref="G700:G701"/>
    <mergeCell ref="F554:F560"/>
    <mergeCell ref="B471:B472"/>
    <mergeCell ref="C629:C632"/>
    <mergeCell ref="D554:D560"/>
    <mergeCell ref="E481:E482"/>
    <mergeCell ref="G471:G472"/>
    <mergeCell ref="F246:F313"/>
    <mergeCell ref="D246:D313"/>
    <mergeCell ref="H486:H487"/>
    <mergeCell ref="H700:H701"/>
    <mergeCell ref="H556:H557"/>
    <mergeCell ref="G556:G557"/>
    <mergeCell ref="A334:A335"/>
    <mergeCell ref="A314:A316"/>
    <mergeCell ref="G329:G331"/>
    <mergeCell ref="F314:F316"/>
    <mergeCell ref="C334:C335"/>
    <mergeCell ref="G430:G433"/>
    <mergeCell ref="B357:B358"/>
    <mergeCell ref="L314:L315"/>
    <mergeCell ref="E334:E335"/>
    <mergeCell ref="F334:F335"/>
    <mergeCell ref="I490:I491"/>
    <mergeCell ref="F222:F229"/>
    <mergeCell ref="G435:I435"/>
    <mergeCell ref="G304:G305"/>
    <mergeCell ref="A471:A472"/>
    <mergeCell ref="A464:A465"/>
    <mergeCell ref="H222:H229"/>
    <mergeCell ref="B464:B465"/>
    <mergeCell ref="C243:C244"/>
    <mergeCell ref="B243:B244"/>
    <mergeCell ref="I326:I327"/>
    <mergeCell ref="C464:C465"/>
    <mergeCell ref="L471:L472"/>
    <mergeCell ref="L464:L465"/>
    <mergeCell ref="H304:H305"/>
    <mergeCell ref="I464:I465"/>
    <mergeCell ref="L349:L350"/>
    <mergeCell ref="E471:E472"/>
    <mergeCell ref="H334:H335"/>
    <mergeCell ref="I420:I421"/>
    <mergeCell ref="F326:F331"/>
    <mergeCell ref="B490:B493"/>
    <mergeCell ref="AA175:AA176"/>
    <mergeCell ref="AD190:AD192"/>
    <mergeCell ref="X190:X192"/>
    <mergeCell ref="Y464:Y465"/>
    <mergeCell ref="I304:I305"/>
    <mergeCell ref="T481:T482"/>
    <mergeCell ref="S318:S319"/>
    <mergeCell ref="O464:O465"/>
    <mergeCell ref="R420:R421"/>
    <mergeCell ref="T312:T313"/>
    <mergeCell ref="U370:U371"/>
    <mergeCell ref="M430:M433"/>
    <mergeCell ref="L334:L335"/>
    <mergeCell ref="H357:H358"/>
    <mergeCell ref="D326:D331"/>
    <mergeCell ref="I430:I431"/>
    <mergeCell ref="H349:H350"/>
    <mergeCell ref="G464:G465"/>
    <mergeCell ref="G357:G358"/>
    <mergeCell ref="E240:E241"/>
    <mergeCell ref="D240:D241"/>
    <mergeCell ref="E349:E350"/>
    <mergeCell ref="E420:E436"/>
    <mergeCell ref="D216:D218"/>
    <mergeCell ref="I177:I178"/>
    <mergeCell ref="H216:H218"/>
    <mergeCell ref="N211:N212"/>
    <mergeCell ref="O184:O186"/>
    <mergeCell ref="O306:O307"/>
    <mergeCell ref="L182:L183"/>
    <mergeCell ref="U193:U195"/>
    <mergeCell ref="R187:R189"/>
    <mergeCell ref="AQ154:AQ155"/>
    <mergeCell ref="AP187:AP189"/>
    <mergeCell ref="AP193:AP195"/>
    <mergeCell ref="AP182:AP183"/>
    <mergeCell ref="AQ464:AQ465"/>
    <mergeCell ref="AQ481:AQ482"/>
    <mergeCell ref="AA179:AC179"/>
    <mergeCell ref="AJ193:AJ195"/>
    <mergeCell ref="AG481:AG482"/>
    <mergeCell ref="AJ464:AJ465"/>
    <mergeCell ref="AF464:AF465"/>
    <mergeCell ref="O182:O183"/>
    <mergeCell ref="L177:L178"/>
    <mergeCell ref="N159:N165"/>
    <mergeCell ref="L175:L176"/>
    <mergeCell ref="AG190:AG192"/>
    <mergeCell ref="AG172:AI172"/>
    <mergeCell ref="U190:U192"/>
    <mergeCell ref="X184:X186"/>
    <mergeCell ref="N318:N319"/>
    <mergeCell ref="O420:O421"/>
    <mergeCell ref="O193:O195"/>
    <mergeCell ref="O159:O160"/>
    <mergeCell ref="R222:R223"/>
    <mergeCell ref="R310:R311"/>
    <mergeCell ref="M306:M309"/>
    <mergeCell ref="T318:T319"/>
    <mergeCell ref="AG464:AG465"/>
    <mergeCell ref="R306:R307"/>
    <mergeCell ref="R190:R192"/>
    <mergeCell ref="AM175:AM176"/>
    <mergeCell ref="AM190:AM192"/>
    <mergeCell ref="AP134:AP135"/>
    <mergeCell ref="AD182:AD183"/>
    <mergeCell ref="X182:X183"/>
    <mergeCell ref="U172:W172"/>
    <mergeCell ref="T370:T371"/>
    <mergeCell ref="X138:X139"/>
    <mergeCell ref="AA187:AA189"/>
    <mergeCell ref="T142:T143"/>
    <mergeCell ref="U138:U139"/>
    <mergeCell ref="X177:X178"/>
    <mergeCell ref="T136:T137"/>
    <mergeCell ref="AQ216:AQ218"/>
    <mergeCell ref="AQ222:AQ223"/>
    <mergeCell ref="AQ326:AQ328"/>
    <mergeCell ref="Y149:Y150"/>
    <mergeCell ref="Z149:Z150"/>
    <mergeCell ref="AA149:AA150"/>
    <mergeCell ref="AD149:AD150"/>
    <mergeCell ref="U318:U319"/>
    <mergeCell ref="AM193:AM195"/>
    <mergeCell ref="AM177:AM178"/>
    <mergeCell ref="AD193:AD195"/>
    <mergeCell ref="AJ184:AJ186"/>
    <mergeCell ref="AM179:AO179"/>
    <mergeCell ref="Y154:Y155"/>
    <mergeCell ref="AG170:AG171"/>
    <mergeCell ref="Y136:Y137"/>
    <mergeCell ref="AM134:AM135"/>
    <mergeCell ref="AM172:AO172"/>
    <mergeCell ref="AM173:AO173"/>
    <mergeCell ref="AM174:AO174"/>
    <mergeCell ref="AM181:AO181"/>
    <mergeCell ref="N9:N11"/>
    <mergeCell ref="M9:M11"/>
    <mergeCell ref="H9:H11"/>
    <mergeCell ref="G9:G11"/>
    <mergeCell ref="G16:I16"/>
    <mergeCell ref="G17:I17"/>
    <mergeCell ref="G18:I18"/>
    <mergeCell ref="I9:I10"/>
    <mergeCell ref="I35:I36"/>
    <mergeCell ref="L35:L36"/>
    <mergeCell ref="S312:S313"/>
    <mergeCell ref="H80:H83"/>
    <mergeCell ref="G80:G83"/>
    <mergeCell ref="L69:L70"/>
    <mergeCell ref="L9:L10"/>
    <mergeCell ref="M464:M465"/>
    <mergeCell ref="N310:N311"/>
    <mergeCell ref="M310:M311"/>
    <mergeCell ref="L222:L223"/>
    <mergeCell ref="L329:L330"/>
    <mergeCell ref="I314:I315"/>
    <mergeCell ref="N464:N465"/>
    <mergeCell ref="G314:G316"/>
    <mergeCell ref="M318:M319"/>
    <mergeCell ref="G420:G423"/>
    <mergeCell ref="L357:L358"/>
    <mergeCell ref="G428:I428"/>
    <mergeCell ref="G334:G335"/>
    <mergeCell ref="I349:I350"/>
    <mergeCell ref="R430:R431"/>
    <mergeCell ref="L430:L431"/>
    <mergeCell ref="I181:K181"/>
    <mergeCell ref="A32:A34"/>
    <mergeCell ref="B50:B51"/>
    <mergeCell ref="A56:A57"/>
    <mergeCell ref="C40:C41"/>
    <mergeCell ref="C58:C59"/>
    <mergeCell ref="B58:B59"/>
    <mergeCell ref="B56:B57"/>
    <mergeCell ref="C52:C53"/>
    <mergeCell ref="M603:M604"/>
    <mergeCell ref="N603:N604"/>
    <mergeCell ref="I481:I482"/>
    <mergeCell ref="I329:I330"/>
    <mergeCell ref="L556:L557"/>
    <mergeCell ref="N481:N482"/>
    <mergeCell ref="I554:I555"/>
    <mergeCell ref="G490:G493"/>
    <mergeCell ref="S481:S482"/>
    <mergeCell ref="H246:H248"/>
    <mergeCell ref="G481:G482"/>
    <mergeCell ref="R481:R482"/>
    <mergeCell ref="L481:L482"/>
    <mergeCell ref="N490:N493"/>
    <mergeCell ref="F490:F493"/>
    <mergeCell ref="E490:E493"/>
    <mergeCell ref="E464:E465"/>
    <mergeCell ref="H490:H493"/>
    <mergeCell ref="M481:M482"/>
    <mergeCell ref="D314:D316"/>
    <mergeCell ref="F357:F358"/>
    <mergeCell ref="F486:F487"/>
    <mergeCell ref="O490:O491"/>
    <mergeCell ref="B209:F209"/>
    <mergeCell ref="A120:A121"/>
    <mergeCell ref="E126:E127"/>
    <mergeCell ref="E87:E90"/>
    <mergeCell ref="E94:E97"/>
    <mergeCell ref="E91:E93"/>
    <mergeCell ref="E56:E57"/>
    <mergeCell ref="F84:F86"/>
    <mergeCell ref="A91:A93"/>
    <mergeCell ref="C9:C11"/>
    <mergeCell ref="N35:N39"/>
    <mergeCell ref="M35:M39"/>
    <mergeCell ref="H35:H39"/>
    <mergeCell ref="D52:D53"/>
    <mergeCell ref="I180:K180"/>
    <mergeCell ref="B32:B34"/>
    <mergeCell ref="E42:E43"/>
    <mergeCell ref="D9:D11"/>
    <mergeCell ref="B42:B43"/>
    <mergeCell ref="B40:B41"/>
    <mergeCell ref="N25:N31"/>
    <mergeCell ref="A52:A53"/>
    <mergeCell ref="F58:F59"/>
    <mergeCell ref="A9:A11"/>
    <mergeCell ref="A58:A59"/>
    <mergeCell ref="F50:F51"/>
    <mergeCell ref="E50:E51"/>
    <mergeCell ref="I44:I45"/>
    <mergeCell ref="A35:A39"/>
    <mergeCell ref="F44:F49"/>
    <mergeCell ref="E44:E49"/>
    <mergeCell ref="D35:D39"/>
    <mergeCell ref="A42:A43"/>
    <mergeCell ref="B100:B101"/>
    <mergeCell ref="E104:E107"/>
    <mergeCell ref="D104:D107"/>
    <mergeCell ref="C104:C107"/>
    <mergeCell ref="B104:B107"/>
    <mergeCell ref="C69:C72"/>
    <mergeCell ref="D67:D68"/>
    <mergeCell ref="A69:A72"/>
    <mergeCell ref="E100:E101"/>
    <mergeCell ref="F100:F101"/>
    <mergeCell ref="B98:B99"/>
    <mergeCell ref="A40:A41"/>
    <mergeCell ref="A50:A51"/>
    <mergeCell ref="F98:F99"/>
    <mergeCell ref="A104:A107"/>
    <mergeCell ref="E58:E59"/>
    <mergeCell ref="D58:D59"/>
    <mergeCell ref="C60:C61"/>
    <mergeCell ref="E80:E83"/>
    <mergeCell ref="B69:B72"/>
    <mergeCell ref="C75:C79"/>
    <mergeCell ref="B87:B90"/>
    <mergeCell ref="C64:C66"/>
    <mergeCell ref="R318:R319"/>
    <mergeCell ref="R464:R465"/>
    <mergeCell ref="H430:H433"/>
    <mergeCell ref="B314:B316"/>
    <mergeCell ref="B334:B335"/>
    <mergeCell ref="B136:B137"/>
    <mergeCell ref="B120:B121"/>
    <mergeCell ref="C156:E156"/>
    <mergeCell ref="A166:D166"/>
    <mergeCell ref="B159:B165"/>
    <mergeCell ref="A159:A165"/>
    <mergeCell ref="D334:D335"/>
    <mergeCell ref="X312:X313"/>
    <mergeCell ref="L326:L328"/>
    <mergeCell ref="X464:X465"/>
    <mergeCell ref="F159:F165"/>
    <mergeCell ref="T464:T465"/>
    <mergeCell ref="C216:C218"/>
    <mergeCell ref="D154:D155"/>
    <mergeCell ref="I173:K173"/>
    <mergeCell ref="I174:K174"/>
    <mergeCell ref="C157:E157"/>
    <mergeCell ref="G427:I427"/>
    <mergeCell ref="O179:Q179"/>
    <mergeCell ref="O430:O431"/>
    <mergeCell ref="L216:L217"/>
    <mergeCell ref="G246:G248"/>
    <mergeCell ref="A349:A350"/>
    <mergeCell ref="D132:D133"/>
    <mergeCell ref="B149:B150"/>
    <mergeCell ref="C149:C150"/>
    <mergeCell ref="B122:B123"/>
    <mergeCell ref="C108:C109"/>
    <mergeCell ref="AQ897:AQ900"/>
    <mergeCell ref="AK897:AK900"/>
    <mergeCell ref="AL897:AL900"/>
    <mergeCell ref="AM897:AM898"/>
    <mergeCell ref="AP897:AP898"/>
    <mergeCell ref="AK887:AK890"/>
    <mergeCell ref="AL887:AL890"/>
    <mergeCell ref="AM887:AM888"/>
    <mergeCell ref="AP887:AP888"/>
    <mergeCell ref="AQ887:AQ890"/>
    <mergeCell ref="A114:A117"/>
    <mergeCell ref="B114:B117"/>
    <mergeCell ref="C114:C117"/>
    <mergeCell ref="D114:D117"/>
    <mergeCell ref="E114:E117"/>
    <mergeCell ref="F114:F117"/>
    <mergeCell ref="AD184:AD186"/>
    <mergeCell ref="AD187:AD189"/>
    <mergeCell ref="U179:W179"/>
    <mergeCell ref="M114:M117"/>
    <mergeCell ref="B128:B129"/>
    <mergeCell ref="D349:D350"/>
    <mergeCell ref="C349:C350"/>
    <mergeCell ref="B643:B644"/>
    <mergeCell ref="C246:C313"/>
    <mergeCell ref="N558:N560"/>
    <mergeCell ref="N847:N848"/>
    <mergeCell ref="M870:M874"/>
    <mergeCell ref="X862:X863"/>
    <mergeCell ref="M851:M853"/>
    <mergeCell ref="R603:R604"/>
    <mergeCell ref="E1100:E1101"/>
    <mergeCell ref="D1100:D1101"/>
    <mergeCell ref="C1100:C1101"/>
    <mergeCell ref="B1100:B1101"/>
    <mergeCell ref="A1100:A1101"/>
    <mergeCell ref="C1096:C1097"/>
    <mergeCell ref="D1096:D1097"/>
    <mergeCell ref="E1096:E1097"/>
    <mergeCell ref="D1094:D1095"/>
    <mergeCell ref="E1094:E1095"/>
    <mergeCell ref="F1100:F1101"/>
    <mergeCell ref="D149:D150"/>
    <mergeCell ref="E149:E150"/>
    <mergeCell ref="F149:F150"/>
    <mergeCell ref="A67:A68"/>
    <mergeCell ref="I80:I81"/>
    <mergeCell ref="A75:A79"/>
    <mergeCell ref="A73:A74"/>
    <mergeCell ref="E69:E72"/>
    <mergeCell ref="B75:B79"/>
    <mergeCell ref="B80:B83"/>
    <mergeCell ref="A149:A150"/>
    <mergeCell ref="A102:A103"/>
    <mergeCell ref="A100:A101"/>
    <mergeCell ref="A98:A99"/>
    <mergeCell ref="C100:C101"/>
    <mergeCell ref="A128:A129"/>
    <mergeCell ref="F130:F131"/>
    <mergeCell ref="A122:A123"/>
    <mergeCell ref="E124:E125"/>
    <mergeCell ref="B134:B135"/>
    <mergeCell ref="E108:E109"/>
    <mergeCell ref="AQ312:AQ313"/>
    <mergeCell ref="AD312:AD313"/>
    <mergeCell ref="AA312:AA313"/>
    <mergeCell ref="Z312:Z313"/>
    <mergeCell ref="Y312:Y313"/>
    <mergeCell ref="U312:U313"/>
    <mergeCell ref="N759:N765"/>
    <mergeCell ref="E666:E669"/>
    <mergeCell ref="E629:E632"/>
    <mergeCell ref="N666:N669"/>
    <mergeCell ref="L603:L604"/>
    <mergeCell ref="N858:N861"/>
    <mergeCell ref="F875:F878"/>
    <mergeCell ref="C862:C866"/>
    <mergeCell ref="M891:M892"/>
    <mergeCell ref="O481:O482"/>
    <mergeCell ref="R558:R559"/>
    <mergeCell ref="AQ759:AQ760"/>
    <mergeCell ref="AQ554:AQ555"/>
    <mergeCell ref="AQ556:AQ557"/>
    <mergeCell ref="C471:C472"/>
    <mergeCell ref="D759:D765"/>
    <mergeCell ref="G840:G843"/>
    <mergeCell ref="G759:G765"/>
    <mergeCell ref="F862:F866"/>
    <mergeCell ref="F870:F874"/>
    <mergeCell ref="F854:F857"/>
    <mergeCell ref="O883:O884"/>
    <mergeCell ref="Y759:Y765"/>
    <mergeCell ref="S887:S890"/>
    <mergeCell ref="R490:R491"/>
    <mergeCell ref="X318:X319"/>
    <mergeCell ref="AE932:AE933"/>
    <mergeCell ref="AF932:AF933"/>
    <mergeCell ref="AG932:AG933"/>
    <mergeCell ref="AJ932:AJ933"/>
    <mergeCell ref="A930:A931"/>
    <mergeCell ref="B930:B931"/>
    <mergeCell ref="C930:C931"/>
    <mergeCell ref="D930:D931"/>
    <mergeCell ref="E930:E931"/>
    <mergeCell ref="F930:F931"/>
    <mergeCell ref="Y930:Y931"/>
    <mergeCell ref="Z930:Z931"/>
    <mergeCell ref="AA930:AA931"/>
    <mergeCell ref="AD930:AD931"/>
    <mergeCell ref="A932:A933"/>
    <mergeCell ref="B932:B933"/>
    <mergeCell ref="C932:C933"/>
    <mergeCell ref="D932:D933"/>
    <mergeCell ref="E932:E933"/>
    <mergeCell ref="F932:F933"/>
    <mergeCell ref="Y932:Y933"/>
    <mergeCell ref="Z932:Z933"/>
    <mergeCell ref="AA932:AA933"/>
    <mergeCell ref="AD932:AD933"/>
  </mergeCells>
  <printOptions horizontalCentered="1"/>
  <pageMargins left="0.39370078740157483" right="0.19685039370078741" top="0.39370078740157483" bottom="0.39370078740157483" header="3.937007874015748E-2" footer="3.937007874015748E-2"/>
  <pageSetup paperSize="8" scale="3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 1 </vt:lpstr>
      <vt:lpstr>'Таблица № 1 '!Заголовки_для_печати</vt:lpstr>
      <vt:lpstr>'Таблица № 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Ржаницына Наталья Евгеньевна</cp:lastModifiedBy>
  <cp:lastPrinted>2021-06-30T05:43:15Z</cp:lastPrinted>
  <dcterms:created xsi:type="dcterms:W3CDTF">2018-08-07T10:42:28Z</dcterms:created>
  <dcterms:modified xsi:type="dcterms:W3CDTF">2021-10-19T15:03:21Z</dcterms:modified>
</cp:coreProperties>
</file>