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120" windowWidth="19320" windowHeight="2700"/>
  </bookViews>
  <sheets>
    <sheet name="Таблица № 2  " sheetId="10" r:id="rId1"/>
  </sheets>
  <definedNames>
    <definedName name="_xlnm.Print_Titles" localSheetId="0">'Таблица № 2  '!$2:$6</definedName>
    <definedName name="_xlnm.Print_Area" localSheetId="0">'Таблица № 2  '!$A$1:$AR$1638</definedName>
  </definedNames>
  <calcPr calcId="145621"/>
</workbook>
</file>

<file path=xl/calcChain.xml><?xml version="1.0" encoding="utf-8"?>
<calcChain xmlns="http://schemas.openxmlformats.org/spreadsheetml/2006/main">
  <c r="AI1228" i="10" l="1"/>
  <c r="AI1423" i="10"/>
  <c r="AI1307" i="10"/>
  <c r="AQ1332" i="10"/>
  <c r="AQ1356" i="10"/>
  <c r="AQ1371" i="10"/>
  <c r="AQ1307" i="10" s="1"/>
  <c r="AQ1320" i="10"/>
  <c r="AO845" i="10"/>
  <c r="AK1307" i="10"/>
  <c r="AQ1228" i="10"/>
  <c r="AK1289" i="10"/>
  <c r="AQ1074" i="10"/>
  <c r="AQ845" i="10"/>
  <c r="AK845" i="10"/>
  <c r="AQ801" i="10"/>
  <c r="AQ799" i="10"/>
  <c r="AK794" i="10"/>
  <c r="AK484" i="10"/>
  <c r="AI484" i="10"/>
  <c r="AK436" i="10"/>
  <c r="AK434" i="10"/>
  <c r="AI9" i="10"/>
  <c r="AK9" i="10" l="1"/>
  <c r="AE1603" i="10"/>
  <c r="AC1605" i="10"/>
  <c r="AC1603" i="10"/>
  <c r="AE1588" i="10"/>
  <c r="AC1588" i="10"/>
  <c r="AC1428" i="10" l="1"/>
  <c r="AC1427" i="10"/>
  <c r="AC1307" i="10" l="1"/>
  <c r="AE1307" i="10"/>
  <c r="AE1228" i="10"/>
  <c r="AC1228" i="10"/>
  <c r="AE1074" i="10"/>
  <c r="G1072" i="10"/>
  <c r="E1072" i="10"/>
  <c r="AC845" i="10"/>
  <c r="AE845" i="10"/>
  <c r="AE861" i="10"/>
  <c r="AC794" i="10" l="1"/>
  <c r="AE794" i="10"/>
  <c r="E843" i="10"/>
  <c r="E841" i="10"/>
  <c r="G843" i="10"/>
  <c r="G841" i="10"/>
  <c r="AC9" i="10"/>
  <c r="AE1573" i="10"/>
  <c r="AC1573" i="10"/>
  <c r="AE9" i="10"/>
  <c r="G430" i="10"/>
  <c r="E430" i="10"/>
  <c r="G432" i="10"/>
  <c r="E432" i="10"/>
  <c r="Y1323" i="10" l="1"/>
  <c r="W1428" i="10"/>
  <c r="Y1265" i="10"/>
  <c r="AE888" i="10"/>
  <c r="Y888" i="10"/>
  <c r="W1465" i="10"/>
  <c r="Y1465" i="10"/>
  <c r="Y178" i="10"/>
  <c r="Y175" i="10"/>
  <c r="Y172" i="10"/>
  <c r="W9" i="10" l="1"/>
  <c r="G427" i="10"/>
  <c r="E427" i="10" s="1"/>
  <c r="AK1588" i="10" l="1"/>
  <c r="AI1573" i="10"/>
  <c r="AI1588" i="10"/>
  <c r="AI1594" i="10"/>
  <c r="AI1603" i="10" l="1"/>
  <c r="AI1311" i="10"/>
  <c r="AK1310" i="10"/>
  <c r="G839" i="10" l="1"/>
  <c r="AC840" i="10" s="1"/>
  <c r="AC484" i="10" l="1"/>
  <c r="G425" i="10"/>
  <c r="E425" i="10"/>
  <c r="AC1266" i="10" l="1"/>
  <c r="Y1117" i="10"/>
  <c r="Y795" i="10"/>
  <c r="Y566" i="10"/>
  <c r="Y552" i="10"/>
  <c r="Y555" i="10"/>
  <c r="Y598" i="10"/>
  <c r="Y504" i="10"/>
  <c r="Y615" i="10" l="1"/>
  <c r="Y619" i="10"/>
  <c r="Y563" i="10"/>
  <c r="Y484" i="10" s="1"/>
  <c r="Y394" i="10" l="1"/>
  <c r="Y186" i="10"/>
  <c r="Y9" i="10" s="1"/>
  <c r="G1582" i="10" l="1"/>
  <c r="E1265" i="10" l="1"/>
  <c r="F1115" i="10" l="1"/>
  <c r="D1115" i="10"/>
  <c r="G566" i="10" l="1"/>
  <c r="AQ1002" i="10" l="1"/>
  <c r="AQ1039" i="10"/>
  <c r="AQ1179" i="10"/>
  <c r="AQ1247" i="10"/>
  <c r="AQ1275" i="10"/>
  <c r="AQ1285" i="10"/>
  <c r="AO1320" i="10"/>
  <c r="AO1307" i="10" s="1"/>
  <c r="G1383" i="10"/>
  <c r="E1383" i="10"/>
  <c r="AO1318" i="10"/>
  <c r="G1305" i="10"/>
  <c r="E1305" i="10"/>
  <c r="AO1228" i="10"/>
  <c r="AO1236" i="10"/>
  <c r="AO1074" i="10"/>
  <c r="AO1177" i="10"/>
  <c r="AI845" i="10"/>
  <c r="E906" i="10"/>
  <c r="AO1321" i="10" l="1"/>
  <c r="AO794" i="10"/>
  <c r="AO838" i="10"/>
  <c r="G837" i="10"/>
  <c r="E837" i="10"/>
  <c r="AQ807" i="10"/>
  <c r="AQ794" i="10" l="1"/>
  <c r="AO1423" i="10"/>
  <c r="AI1592" i="10"/>
  <c r="AI1605" i="10" s="1"/>
  <c r="G436" i="10"/>
  <c r="G434" i="10"/>
  <c r="G791" i="10" l="1"/>
  <c r="AC1074" i="10" l="1"/>
  <c r="E321" i="10" l="1"/>
  <c r="G321" i="10" s="1"/>
  <c r="G137" i="10" l="1"/>
  <c r="E137" i="10"/>
  <c r="A1578" i="10" l="1"/>
  <c r="AE1604" i="10" l="1"/>
  <c r="AC1604" i="10"/>
  <c r="Y794" i="10"/>
  <c r="G1070" i="10" l="1"/>
  <c r="E1070" i="10"/>
  <c r="G1068" i="10"/>
  <c r="E1068" i="10"/>
  <c r="AQ846" i="10" l="1"/>
  <c r="AQ876" i="10"/>
  <c r="AO856" i="10"/>
  <c r="AI836" i="10"/>
  <c r="AI834" i="10"/>
  <c r="AI832" i="10"/>
  <c r="G835" i="10"/>
  <c r="G833" i="10"/>
  <c r="G831" i="10"/>
  <c r="E835" i="10"/>
  <c r="E833" i="10"/>
  <c r="E831" i="10"/>
  <c r="G1303" i="10"/>
  <c r="E1303" i="10"/>
  <c r="AK1228" i="10" l="1"/>
  <c r="AI1290" i="10"/>
  <c r="AQ1251" i="10"/>
  <c r="AQ1245" i="10"/>
  <c r="AQ1243" i="10"/>
  <c r="AK1074" i="10"/>
  <c r="AI1074" i="10"/>
  <c r="AI1157" i="10"/>
  <c r="AI1206" i="10"/>
  <c r="AI1211" i="10"/>
  <c r="AC1198" i="10"/>
  <c r="AK1368" i="10" l="1"/>
  <c r="AK1347" i="10"/>
  <c r="AI794" i="10" l="1"/>
  <c r="F811" i="10" l="1"/>
  <c r="AO800" i="10"/>
  <c r="AE484" i="10" l="1"/>
  <c r="A623" i="10"/>
  <c r="G1584" i="10"/>
  <c r="AI1604" i="10" l="1"/>
  <c r="AK1573" i="10"/>
  <c r="W1605" i="10"/>
  <c r="AK1604" i="10" l="1"/>
  <c r="AK1603" i="10"/>
  <c r="Y1453" i="10" l="1"/>
  <c r="Y1455" i="10"/>
  <c r="Y1456" i="10"/>
  <c r="W1307" i="10"/>
  <c r="Y1307" i="10"/>
  <c r="AE1423" i="10"/>
  <c r="AC1423" i="10" l="1"/>
  <c r="W1074" i="10"/>
  <c r="E1115" i="10"/>
  <c r="G1115" i="10" s="1"/>
  <c r="W845" i="10"/>
  <c r="Y849" i="10"/>
  <c r="Y845" i="10" s="1"/>
  <c r="G859" i="10" l="1"/>
  <c r="G1263" i="10" l="1"/>
  <c r="W1455" i="10" l="1"/>
  <c r="W1453" i="10"/>
  <c r="W1456" i="10" l="1"/>
  <c r="G797" i="10" l="1"/>
  <c r="E797" i="10"/>
  <c r="W794" i="10" l="1"/>
  <c r="Y1263" i="10" l="1"/>
  <c r="Y1228" i="10" s="1"/>
  <c r="W484" i="10" l="1"/>
  <c r="Y1115" i="10" l="1"/>
  <c r="Y1074" i="10" s="1"/>
  <c r="Y1427" i="10" s="1"/>
  <c r="Y1430" i="10" l="1"/>
  <c r="E1595" i="10"/>
  <c r="G1595" i="10" s="1"/>
  <c r="G1597" i="10"/>
  <c r="G1599" i="10"/>
  <c r="W1600" i="10" s="1"/>
  <c r="Q108" i="10" l="1"/>
  <c r="Q112" i="10"/>
  <c r="Q117" i="10"/>
  <c r="Q153" i="10"/>
  <c r="Q163" i="10" l="1"/>
  <c r="Q151" i="10"/>
  <c r="S441" i="10" l="1"/>
  <c r="E123" i="10"/>
  <c r="G123" i="10" s="1"/>
  <c r="D123" i="10"/>
  <c r="F123" i="10" s="1"/>
  <c r="S123" i="10"/>
  <c r="S116" i="10"/>
  <c r="E116" i="10"/>
  <c r="G116" i="10" s="1"/>
  <c r="F116" i="10"/>
  <c r="D116" i="10"/>
  <c r="S129" i="10"/>
  <c r="F111" i="10"/>
  <c r="E111" i="10"/>
  <c r="G111" i="10" s="1"/>
  <c r="S111" i="10"/>
  <c r="F107" i="10"/>
  <c r="G107" i="10"/>
  <c r="E107" i="10"/>
  <c r="G102" i="10"/>
  <c r="F102" i="10"/>
  <c r="E102" i="10"/>
  <c r="S107" i="10"/>
  <c r="S102" i="10"/>
  <c r="F92" i="10" l="1"/>
  <c r="D92" i="10" s="1"/>
  <c r="S97" i="10"/>
  <c r="Q1100" i="10" l="1"/>
  <c r="Q1428" i="10" s="1"/>
  <c r="E1099" i="10"/>
  <c r="E1096" i="10"/>
  <c r="E1102" i="10"/>
  <c r="E1104" i="10"/>
  <c r="Q1114" i="10"/>
  <c r="E1601" i="10" l="1"/>
  <c r="S1099" i="10" l="1"/>
  <c r="S1113" i="10"/>
  <c r="F175" i="10" l="1"/>
  <c r="F178" i="10"/>
  <c r="F172" i="10"/>
  <c r="G178" i="10"/>
  <c r="G175" i="10"/>
  <c r="G172" i="10"/>
  <c r="G166" i="10"/>
  <c r="G1601" i="10" l="1"/>
  <c r="G1586" i="10"/>
  <c r="Y237" i="10"/>
  <c r="W1604" i="10" l="1"/>
  <c r="Y1604" i="10"/>
  <c r="W1263" i="10" l="1"/>
  <c r="W1228" i="10" s="1"/>
  <c r="W1427" i="10" s="1"/>
  <c r="W1423" i="10" s="1"/>
  <c r="S510" i="10" l="1"/>
  <c r="AE1231" i="10" l="1"/>
  <c r="F152" i="10" l="1"/>
  <c r="D152" i="10" s="1"/>
  <c r="Q152" i="10"/>
  <c r="F148" i="10"/>
  <c r="D148" i="10" s="1"/>
  <c r="Q148" i="10"/>
  <c r="S160" i="10" l="1"/>
  <c r="F160" i="10"/>
  <c r="D160" i="10" s="1"/>
  <c r="Q160" i="10"/>
  <c r="S156" i="10"/>
  <c r="F156" i="10"/>
  <c r="D156" i="10" s="1"/>
  <c r="Q156" i="10"/>
  <c r="Q9" i="10" s="1"/>
  <c r="G160" i="10"/>
  <c r="E160" i="10" s="1"/>
  <c r="G156" i="10"/>
  <c r="E156" i="10" s="1"/>
  <c r="S152" i="10"/>
  <c r="G152" i="10"/>
  <c r="E152" i="10" s="1"/>
  <c r="S148" i="10"/>
  <c r="G148" i="10"/>
  <c r="E148" i="10" s="1"/>
  <c r="F129" i="10" l="1"/>
  <c r="D129" i="10" s="1"/>
  <c r="F141" i="10"/>
  <c r="D141" i="10" s="1"/>
  <c r="F145" i="10"/>
  <c r="D145" i="10" s="1"/>
  <c r="G145" i="10"/>
  <c r="E145" i="10" s="1"/>
  <c r="G141" i="10"/>
  <c r="E141" i="10" s="1"/>
  <c r="G92" i="10"/>
  <c r="E92" i="10" s="1"/>
  <c r="G129" i="10"/>
  <c r="E129" i="10" s="1"/>
  <c r="F1263" i="10" l="1"/>
  <c r="F1093" i="10" l="1"/>
  <c r="D1093" i="10" s="1"/>
  <c r="F1102" i="10"/>
  <c r="F1099" i="10"/>
  <c r="D1099" i="10" s="1"/>
  <c r="F1096" i="10"/>
  <c r="D1096" i="10" s="1"/>
  <c r="AE487" i="10" l="1"/>
  <c r="AE1426" i="10" s="1"/>
  <c r="AE1425" i="10" s="1"/>
  <c r="Y487" i="10"/>
  <c r="Y486" i="10" s="1"/>
  <c r="S487" i="10"/>
  <c r="S1453" i="10"/>
  <c r="S1457" i="10"/>
  <c r="Q1457" i="10"/>
  <c r="S1456" i="10" l="1"/>
  <c r="S1465" i="10"/>
  <c r="S1464" i="10"/>
  <c r="S1454" i="10"/>
  <c r="S1455" i="10" l="1"/>
  <c r="E164" i="10"/>
  <c r="G164" i="10"/>
  <c r="S145" i="10" l="1"/>
  <c r="S141" i="10"/>
  <c r="S137" i="10"/>
  <c r="S9" i="10" s="1"/>
  <c r="S559" i="10"/>
  <c r="S495" i="10"/>
  <c r="Q545" i="10"/>
  <c r="S579" i="10"/>
  <c r="S573" i="10"/>
  <c r="S526" i="10"/>
  <c r="Q526" i="10"/>
  <c r="S570" i="10"/>
  <c r="S548" i="10"/>
  <c r="S538" i="10"/>
  <c r="S490" i="10"/>
  <c r="Q510" i="10"/>
  <c r="S541" i="10"/>
  <c r="S484" i="10" l="1"/>
  <c r="S486" i="10" s="1"/>
  <c r="Q1074" i="10"/>
  <c r="S1107" i="10"/>
  <c r="S1110" i="10"/>
  <c r="S1104" i="10"/>
  <c r="S1096" i="10"/>
  <c r="AO1504" i="10" l="1"/>
  <c r="AK1499" i="10"/>
  <c r="AK1504" i="10" s="1"/>
  <c r="AQ1499" i="10"/>
  <c r="AQ1504" i="10" s="1"/>
  <c r="Q1454" i="10" l="1"/>
  <c r="Q1453" i="10"/>
  <c r="S1093" i="10" l="1"/>
  <c r="S1074" i="10" s="1"/>
  <c r="A594" i="10" l="1"/>
  <c r="A596" i="10" s="1"/>
  <c r="Q495" i="10"/>
  <c r="Q1455" i="10" l="1"/>
  <c r="Q1456" i="10"/>
  <c r="Q1464" i="10"/>
  <c r="Q1465" i="10"/>
  <c r="S1436" i="10"/>
  <c r="S1439" i="10" s="1"/>
  <c r="M1484" i="10"/>
  <c r="AK1137" i="10"/>
  <c r="AK1140" i="10"/>
  <c r="AK1143" i="10"/>
  <c r="AK1145" i="10"/>
  <c r="AK1148" i="10"/>
  <c r="AK1150" i="10"/>
  <c r="AK1159" i="10"/>
  <c r="AK1162" i="10"/>
  <c r="Y168" i="10"/>
  <c r="Y191" i="10"/>
  <c r="Y193" i="10"/>
  <c r="Y195" i="10"/>
  <c r="Y197" i="10"/>
  <c r="Y199" i="10"/>
  <c r="Y201" i="10"/>
  <c r="Y203" i="10"/>
  <c r="Y205" i="10"/>
  <c r="Y207" i="10"/>
  <c r="Y209" i="10"/>
  <c r="Y211" i="10"/>
  <c r="Y217" i="10"/>
  <c r="Y221" i="10"/>
  <c r="Y223" i="10"/>
  <c r="Y225" i="10"/>
  <c r="Y227" i="10"/>
  <c r="Y229" i="10"/>
  <c r="Y231" i="10"/>
  <c r="Y233" i="10"/>
  <c r="Y235" i="10"/>
  <c r="Y239" i="10"/>
  <c r="Y241" i="10"/>
  <c r="Y243" i="10"/>
  <c r="Y247" i="10"/>
  <c r="Y249" i="10"/>
  <c r="Y251" i="10"/>
  <c r="Y253" i="10"/>
  <c r="Y255" i="10"/>
  <c r="Y257" i="10"/>
  <c r="Y259" i="10"/>
  <c r="Y261" i="10"/>
  <c r="Y263" i="10"/>
  <c r="Y265" i="10"/>
  <c r="Y267" i="10"/>
  <c r="Y269" i="10"/>
  <c r="Y271" i="10"/>
  <c r="Y273" i="10"/>
  <c r="Y275" i="10"/>
  <c r="Y277" i="10"/>
  <c r="Y279" i="10"/>
  <c r="Y281" i="10"/>
  <c r="Y283" i="10"/>
  <c r="Y285" i="10"/>
  <c r="Y287" i="10"/>
  <c r="Y289" i="10"/>
  <c r="Q573" i="10"/>
  <c r="Q484" i="10" s="1"/>
  <c r="Q1427" i="10" s="1"/>
  <c r="S461" i="10"/>
  <c r="S464" i="10" s="1"/>
  <c r="S1426" i="10" s="1"/>
  <c r="A137" i="10"/>
  <c r="A141" i="10" s="1"/>
  <c r="A145" i="10" s="1"/>
  <c r="A148" i="10" s="1"/>
  <c r="A152" i="10" s="1"/>
  <c r="A156" i="10" s="1"/>
  <c r="A160" i="10" s="1"/>
  <c r="A168" i="10" s="1"/>
  <c r="A170" i="10" s="1"/>
  <c r="A175" i="10" s="1"/>
  <c r="A178" i="10" s="1"/>
  <c r="A189" i="10" s="1"/>
  <c r="A191" i="10" s="1"/>
  <c r="A193" i="10" s="1"/>
  <c r="A195" i="10" s="1"/>
  <c r="A197" i="10" s="1"/>
  <c r="A199" i="10" s="1"/>
  <c r="A201" i="10" s="1"/>
  <c r="A203" i="10" s="1"/>
  <c r="A205" i="10" s="1"/>
  <c r="A207" i="10" s="1"/>
  <c r="A209" i="10" s="1"/>
  <c r="A211" i="10" s="1"/>
  <c r="A217" i="10" s="1"/>
  <c r="A221" i="10" s="1"/>
  <c r="A223" i="10" s="1"/>
  <c r="A225" i="10" s="1"/>
  <c r="A227" i="10" s="1"/>
  <c r="A229" i="10" s="1"/>
  <c r="A231" i="10" s="1"/>
  <c r="A233" i="10" s="1"/>
  <c r="A235" i="10" s="1"/>
  <c r="A237" i="10" s="1"/>
  <c r="A239" i="10" s="1"/>
  <c r="A241" i="10" s="1"/>
  <c r="A243" i="10" s="1"/>
  <c r="A245" i="10" s="1"/>
  <c r="A247" i="10" s="1"/>
  <c r="A249" i="10" s="1"/>
  <c r="A251" i="10" s="1"/>
  <c r="A253" i="10" s="1"/>
  <c r="A255" i="10" s="1"/>
  <c r="A257" i="10" s="1"/>
  <c r="A259" i="10" s="1"/>
  <c r="A261" i="10" s="1"/>
  <c r="A263" i="10" s="1"/>
  <c r="A265" i="10" s="1"/>
  <c r="A267" i="10" s="1"/>
  <c r="A269" i="10" s="1"/>
  <c r="A271" i="10" s="1"/>
  <c r="A273" i="10" s="1"/>
  <c r="A275" i="10" s="1"/>
  <c r="A277" i="10" s="1"/>
  <c r="A279" i="10" s="1"/>
  <c r="A281" i="10" s="1"/>
  <c r="A283" i="10" s="1"/>
  <c r="A285" i="10" s="1"/>
  <c r="A287" i="10" s="1"/>
  <c r="A289" i="10" s="1"/>
  <c r="F1081" i="10"/>
  <c r="D1081" i="10"/>
  <c r="AI1160" i="10"/>
  <c r="AI1151" i="10"/>
  <c r="AI1149" i="10"/>
  <c r="AI1146" i="10"/>
  <c r="AI1144" i="10"/>
  <c r="AI1138" i="10"/>
  <c r="AO1298" i="10"/>
  <c r="AO1284" i="10"/>
  <c r="AO1280" i="10"/>
  <c r="AO1276" i="10"/>
  <c r="AO1270" i="10"/>
  <c r="AO1221" i="10"/>
  <c r="AO1219" i="10"/>
  <c r="AO1217" i="10"/>
  <c r="AO1215" i="10"/>
  <c r="AO1213" i="10"/>
  <c r="AO1208" i="10"/>
  <c r="AO1201" i="10"/>
  <c r="AO1189" i="10"/>
  <c r="AO1186" i="10"/>
  <c r="AO1180" i="10"/>
  <c r="AE1233" i="10"/>
  <c r="AE1237" i="10"/>
  <c r="AE1241" i="10"/>
  <c r="AE301" i="10"/>
  <c r="AE305" i="10"/>
  <c r="AE329" i="10"/>
  <c r="AE341" i="10"/>
  <c r="AK1425" i="10"/>
  <c r="AK867" i="10"/>
  <c r="AI867" i="10"/>
  <c r="AQ1359" i="10"/>
  <c r="AQ1380" i="10"/>
  <c r="AQ978" i="10"/>
  <c r="AQ981" i="10"/>
  <c r="AQ984" i="10"/>
  <c r="AQ1015" i="10"/>
  <c r="AQ1036" i="10"/>
  <c r="AQ1183" i="10"/>
  <c r="AQ1185" i="10"/>
  <c r="AQ1188" i="10"/>
  <c r="AQ1191" i="10"/>
  <c r="AQ1194" i="10"/>
  <c r="AQ1200" i="10"/>
  <c r="AQ1207" i="10"/>
  <c r="AQ1212" i="10"/>
  <c r="AQ1214" i="10"/>
  <c r="AQ1216" i="10"/>
  <c r="AQ1218" i="10"/>
  <c r="AQ1220" i="10"/>
  <c r="AQ813" i="10"/>
  <c r="AQ819" i="10"/>
  <c r="AQ1269" i="10"/>
  <c r="AQ1295" i="10"/>
  <c r="AQ1297" i="10"/>
  <c r="K1455" i="10"/>
  <c r="K1454" i="10"/>
  <c r="M1455" i="10"/>
  <c r="M1454" i="10"/>
  <c r="M470" i="10"/>
  <c r="AK1427" i="10"/>
  <c r="AK1430" i="10" s="1"/>
  <c r="M13" i="10"/>
  <c r="M19" i="10"/>
  <c r="M22" i="10"/>
  <c r="M32" i="10"/>
  <c r="M35" i="10"/>
  <c r="M38" i="10"/>
  <c r="M45" i="10"/>
  <c r="M51" i="10"/>
  <c r="M53" i="10"/>
  <c r="M64" i="10"/>
  <c r="M67" i="10"/>
  <c r="M78" i="10"/>
  <c r="M85" i="10"/>
  <c r="M88" i="10"/>
  <c r="M95" i="10"/>
  <c r="M514" i="10"/>
  <c r="M484" i="10" s="1"/>
  <c r="M1087" i="10"/>
  <c r="M14" i="10"/>
  <c r="M96" i="10"/>
  <c r="M451" i="10"/>
  <c r="M441" i="10" s="1"/>
  <c r="M450" i="10"/>
  <c r="M454" i="10"/>
  <c r="M453" i="10" s="1"/>
  <c r="K1081" i="10"/>
  <c r="K1087" i="10"/>
  <c r="S450" i="10"/>
  <c r="S438" i="10"/>
  <c r="Q442" i="10"/>
  <c r="Q1437" i="10" s="1"/>
  <c r="Q441" i="10"/>
  <c r="K442" i="10"/>
  <c r="K1437" i="10" s="1"/>
  <c r="K441" i="10"/>
  <c r="K1436" i="10" s="1"/>
  <c r="K1651" i="10"/>
  <c r="K1650" i="10"/>
  <c r="K1649" i="10"/>
  <c r="M1649" i="10"/>
  <c r="F1075" i="10"/>
  <c r="D1075" i="10"/>
  <c r="K1387" i="10"/>
  <c r="K1467" i="10" s="1"/>
  <c r="M1086" i="10"/>
  <c r="M1080" i="10"/>
  <c r="AC1504" i="10"/>
  <c r="AE1499" i="10"/>
  <c r="AE1504" i="10" s="1"/>
  <c r="M1397" i="10"/>
  <c r="M1393" i="10"/>
  <c r="M1473" i="10" s="1"/>
  <c r="M1392" i="10"/>
  <c r="M1472" i="10" s="1"/>
  <c r="M1391" i="10"/>
  <c r="M1388" i="10"/>
  <c r="M1468" i="10" s="1"/>
  <c r="M1387" i="10"/>
  <c r="M1467" i="10" s="1"/>
  <c r="K1397" i="10"/>
  <c r="K1477" i="10" s="1"/>
  <c r="K1393" i="10"/>
  <c r="K1473" i="10" s="1"/>
  <c r="K1392" i="10"/>
  <c r="K1472" i="10" s="1"/>
  <c r="K1391" i="10"/>
  <c r="K1471" i="10" s="1"/>
  <c r="K1388" i="10"/>
  <c r="K1468" i="10" s="1"/>
  <c r="M1457" i="10"/>
  <c r="M92" i="10"/>
  <c r="K1435" i="10"/>
  <c r="K1434" i="10"/>
  <c r="G453" i="10"/>
  <c r="E453" i="10"/>
  <c r="K9" i="10"/>
  <c r="M10" i="10"/>
  <c r="K11" i="10"/>
  <c r="M1493" i="10"/>
  <c r="M1499" i="10" s="1"/>
  <c r="M1502" i="10" s="1"/>
  <c r="Y1454" i="10"/>
  <c r="W1454" i="10"/>
  <c r="Y461" i="10"/>
  <c r="Y1423" i="10" s="1"/>
  <c r="AE339" i="10"/>
  <c r="AF339" i="10" s="1"/>
  <c r="AE337" i="10"/>
  <c r="AF337" i="10" s="1"/>
  <c r="AE335" i="10"/>
  <c r="AF335" i="10" s="1"/>
  <c r="AE333" i="10"/>
  <c r="AF333" i="10" s="1"/>
  <c r="AE331" i="10"/>
  <c r="AF331" i="10" s="1"/>
  <c r="AE327" i="10"/>
  <c r="AE325" i="10"/>
  <c r="AE323" i="10"/>
  <c r="AE319" i="10"/>
  <c r="AE317" i="10"/>
  <c r="AE315" i="10"/>
  <c r="AE313" i="10"/>
  <c r="AE309" i="10"/>
  <c r="AE307" i="10"/>
  <c r="AE303" i="10"/>
  <c r="AE299" i="10"/>
  <c r="AE297" i="10"/>
  <c r="AE295" i="10"/>
  <c r="AE293" i="10"/>
  <c r="K68" i="10"/>
  <c r="E67" i="10"/>
  <c r="G67" i="10"/>
  <c r="E88" i="10"/>
  <c r="K89" i="10"/>
  <c r="K1457" i="10"/>
  <c r="A548" i="10"/>
  <c r="A559" i="10" s="1"/>
  <c r="M1480" i="10"/>
  <c r="M1478" i="10"/>
  <c r="M1487" i="10"/>
  <c r="E85" i="10"/>
  <c r="G85" i="10"/>
  <c r="K86" i="10"/>
  <c r="K79" i="10"/>
  <c r="E75" i="10"/>
  <c r="G75" i="10"/>
  <c r="K76" i="10"/>
  <c r="E73" i="10"/>
  <c r="G73" i="10"/>
  <c r="K74" i="10"/>
  <c r="E71" i="10"/>
  <c r="G71" i="10"/>
  <c r="K72" i="10"/>
  <c r="E69" i="10"/>
  <c r="G69" i="10"/>
  <c r="K70" i="10"/>
  <c r="E64" i="10"/>
  <c r="G64" i="10"/>
  <c r="K65" i="10"/>
  <c r="E62" i="10"/>
  <c r="G62" i="10"/>
  <c r="K63" i="10"/>
  <c r="E60" i="10"/>
  <c r="G60" i="10"/>
  <c r="K61" i="10"/>
  <c r="E58" i="10"/>
  <c r="G58" i="10"/>
  <c r="K59" i="10"/>
  <c r="E56" i="10"/>
  <c r="G56" i="10"/>
  <c r="K57" i="10"/>
  <c r="E53" i="10"/>
  <c r="G53" i="10"/>
  <c r="K54" i="10"/>
  <c r="E51" i="10"/>
  <c r="G51" i="10"/>
  <c r="K52" i="10"/>
  <c r="E49" i="10"/>
  <c r="G49" i="10"/>
  <c r="K50" i="10"/>
  <c r="K46" i="10"/>
  <c r="E43" i="10"/>
  <c r="G43" i="10"/>
  <c r="K44" i="10"/>
  <c r="E41" i="10"/>
  <c r="G41" i="10"/>
  <c r="K42" i="10"/>
  <c r="E38" i="10"/>
  <c r="G38" i="10"/>
  <c r="K39" i="10"/>
  <c r="G35" i="10"/>
  <c r="E35" i="10"/>
  <c r="K36" i="10"/>
  <c r="E32" i="10"/>
  <c r="G32" i="10"/>
  <c r="K33" i="10"/>
  <c r="G30" i="10"/>
  <c r="E30" i="10"/>
  <c r="K31" i="10"/>
  <c r="E26" i="10"/>
  <c r="G26" i="10"/>
  <c r="K27" i="10"/>
  <c r="E22" i="10"/>
  <c r="G22" i="10"/>
  <c r="K23" i="10"/>
  <c r="E19" i="10"/>
  <c r="G19" i="10"/>
  <c r="K20" i="10"/>
  <c r="G10" i="10"/>
  <c r="E10" i="10"/>
  <c r="K1499" i="10"/>
  <c r="K1503" i="10"/>
  <c r="K1502" i="10"/>
  <c r="W1435" i="10"/>
  <c r="Y1434" i="10"/>
  <c r="W1434" i="10"/>
  <c r="K1480" i="10"/>
  <c r="D41" i="10"/>
  <c r="G536" i="10"/>
  <c r="E536" i="10"/>
  <c r="G532" i="10"/>
  <c r="E532" i="10"/>
  <c r="G530" i="10"/>
  <c r="E530" i="10"/>
  <c r="G522" i="10"/>
  <c r="E522" i="10"/>
  <c r="K484" i="10"/>
  <c r="M1400" i="10"/>
  <c r="AQ1397" i="10"/>
  <c r="AQ1477" i="10" s="1"/>
  <c r="AO1397" i="10"/>
  <c r="AO1477" i="10" s="1"/>
  <c r="AK1397" i="10"/>
  <c r="AK1477" i="10" s="1"/>
  <c r="AI1397" i="10"/>
  <c r="AI1477" i="10" s="1"/>
  <c r="AE1397" i="10"/>
  <c r="AE1477" i="10" s="1"/>
  <c r="AC1397" i="10"/>
  <c r="AC1477" i="10" s="1"/>
  <c r="Y1397" i="10"/>
  <c r="Y1477" i="10" s="1"/>
  <c r="W1397" i="10"/>
  <c r="W1477" i="10" s="1"/>
  <c r="S1397" i="10"/>
  <c r="S1477" i="10" s="1"/>
  <c r="Q1397" i="10"/>
  <c r="Q1477" i="10" s="1"/>
  <c r="S1389" i="10"/>
  <c r="Q1389" i="10"/>
  <c r="Q1469" i="10" s="1"/>
  <c r="AQ1387" i="10"/>
  <c r="AQ1467" i="10" s="1"/>
  <c r="AO1387" i="10"/>
  <c r="AO1467" i="10" s="1"/>
  <c r="AK1387" i="10"/>
  <c r="AI1387" i="10"/>
  <c r="AI1467" i="10" s="1"/>
  <c r="AE1387" i="10"/>
  <c r="AE1467" i="10" s="1"/>
  <c r="AC1387" i="10"/>
  <c r="AC1467" i="10" s="1"/>
  <c r="Y1387" i="10"/>
  <c r="W1387" i="10"/>
  <c r="W1467" i="10" s="1"/>
  <c r="S1387" i="10"/>
  <c r="S1467" i="10" s="1"/>
  <c r="Q1387" i="10"/>
  <c r="Q1467" i="10" s="1"/>
  <c r="AQ1395" i="10"/>
  <c r="AQ1475" i="10" s="1"/>
  <c r="AO1395" i="10"/>
  <c r="AO1475" i="10" s="1"/>
  <c r="AK1395" i="10"/>
  <c r="AK1475" i="10" s="1"/>
  <c r="AI1395" i="10"/>
  <c r="AI1475" i="10" s="1"/>
  <c r="AE1395" i="10"/>
  <c r="AE1475" i="10" s="1"/>
  <c r="AC1395" i="10"/>
  <c r="AC1475" i="10" s="1"/>
  <c r="Y1395" i="10"/>
  <c r="Y1475" i="10" s="1"/>
  <c r="W1395" i="10"/>
  <c r="W1475" i="10" s="1"/>
  <c r="S1395" i="10"/>
  <c r="S1475" i="10" s="1"/>
  <c r="Q1395" i="10"/>
  <c r="Q1475" i="10" s="1"/>
  <c r="AQ1393" i="10"/>
  <c r="AQ1473" i="10" s="1"/>
  <c r="AO1393" i="10"/>
  <c r="AO1473" i="10" s="1"/>
  <c r="AE1393" i="10"/>
  <c r="AE1473" i="10" s="1"/>
  <c r="AK1393" i="10"/>
  <c r="AK1473" i="10" s="1"/>
  <c r="AI1393" i="10"/>
  <c r="AI1473" i="10" s="1"/>
  <c r="AC1393" i="10"/>
  <c r="AC1473" i="10" s="1"/>
  <c r="Y1393" i="10"/>
  <c r="Y1473" i="10" s="1"/>
  <c r="W1393" i="10"/>
  <c r="W1473" i="10" s="1"/>
  <c r="S1393" i="10"/>
  <c r="S1473" i="10" s="1"/>
  <c r="Q1393" i="10"/>
  <c r="Q1473" i="10" s="1"/>
  <c r="AQ1391" i="10"/>
  <c r="AO1391" i="10"/>
  <c r="AO1471" i="10" s="1"/>
  <c r="AK1391" i="10"/>
  <c r="AK1471" i="10" s="1"/>
  <c r="AI1391" i="10"/>
  <c r="AI1471" i="10" s="1"/>
  <c r="AE1391" i="10"/>
  <c r="AE1471" i="10" s="1"/>
  <c r="AC1391" i="10"/>
  <c r="AC1471" i="10" s="1"/>
  <c r="Y1391" i="10"/>
  <c r="Y1471" i="10" s="1"/>
  <c r="W1391" i="10"/>
  <c r="W1471" i="10" s="1"/>
  <c r="S1391" i="10"/>
  <c r="S1471" i="10" s="1"/>
  <c r="Q1391" i="10"/>
  <c r="Q1471" i="10" s="1"/>
  <c r="AQ1392" i="10"/>
  <c r="AQ1472" i="10" s="1"/>
  <c r="AO1392" i="10"/>
  <c r="AO1472" i="10" s="1"/>
  <c r="AK1392" i="10"/>
  <c r="AK1472" i="10" s="1"/>
  <c r="AI1392" i="10"/>
  <c r="AI1472" i="10" s="1"/>
  <c r="AE1392" i="10"/>
  <c r="AE1472" i="10" s="1"/>
  <c r="AC1392" i="10"/>
  <c r="AC1472" i="10" s="1"/>
  <c r="Y1392" i="10"/>
  <c r="Y1472" i="10" s="1"/>
  <c r="W1392" i="10"/>
  <c r="W1472" i="10" s="1"/>
  <c r="S1392" i="10"/>
  <c r="S1472" i="10" s="1"/>
  <c r="Q1392" i="10"/>
  <c r="Q1472" i="10" s="1"/>
  <c r="AQ1476" i="10"/>
  <c r="AO1476" i="10"/>
  <c r="AQ1474" i="10"/>
  <c r="AO1474" i="10"/>
  <c r="AQ1471" i="10"/>
  <c r="AQ1470" i="10"/>
  <c r="AO1470" i="10"/>
  <c r="AQ1469" i="10"/>
  <c r="AO1469" i="10"/>
  <c r="AQ1468" i="10"/>
  <c r="AO1468" i="10"/>
  <c r="AK1476" i="10"/>
  <c r="AI1476" i="10"/>
  <c r="AK1474" i="10"/>
  <c r="AI1474" i="10"/>
  <c r="AK1470" i="10"/>
  <c r="AI1470" i="10"/>
  <c r="AK1469" i="10"/>
  <c r="AI1469" i="10"/>
  <c r="AK1468" i="10"/>
  <c r="AI1468" i="10"/>
  <c r="AE1476" i="10"/>
  <c r="AC1476" i="10"/>
  <c r="AE1474" i="10"/>
  <c r="AC1474" i="10"/>
  <c r="AE1470" i="10"/>
  <c r="AC1470" i="10"/>
  <c r="AE1469" i="10"/>
  <c r="AC1469" i="10"/>
  <c r="AE1468" i="10"/>
  <c r="AC1468" i="10"/>
  <c r="Y1476" i="10"/>
  <c r="W1476" i="10"/>
  <c r="Y1474" i="10"/>
  <c r="W1474" i="10"/>
  <c r="Y1470" i="10"/>
  <c r="W1470" i="10"/>
  <c r="Y1469" i="10"/>
  <c r="W1469" i="10"/>
  <c r="Y1468" i="10"/>
  <c r="W1468" i="10"/>
  <c r="S1476" i="10"/>
  <c r="Q1476" i="10"/>
  <c r="S1474" i="10"/>
  <c r="Q1474" i="10"/>
  <c r="S1470" i="10"/>
  <c r="Q1470" i="10"/>
  <c r="S1468" i="10"/>
  <c r="Q1468" i="10"/>
  <c r="M1477" i="10"/>
  <c r="M1476" i="10"/>
  <c r="M1475" i="10"/>
  <c r="M1474" i="10"/>
  <c r="M1470" i="10"/>
  <c r="M1469" i="10"/>
  <c r="K1476" i="10"/>
  <c r="K1475" i="10"/>
  <c r="K1474" i="10"/>
  <c r="K1470" i="10"/>
  <c r="K1469" i="10"/>
  <c r="AO1499" i="10"/>
  <c r="AI1499" i="10"/>
  <c r="AC1499" i="10"/>
  <c r="Y1499" i="10"/>
  <c r="Y1504" i="10" s="1"/>
  <c r="W1499" i="10"/>
  <c r="S1499" i="10"/>
  <c r="S1504" i="10" s="1"/>
  <c r="Q1499" i="10"/>
  <c r="D1499" i="10"/>
  <c r="G1498" i="10"/>
  <c r="E1498" i="10"/>
  <c r="G1497" i="10"/>
  <c r="E1497" i="10"/>
  <c r="G1496" i="10"/>
  <c r="E1496" i="10"/>
  <c r="G1495" i="10"/>
  <c r="E1495" i="10"/>
  <c r="G1492" i="10"/>
  <c r="F1492" i="10"/>
  <c r="E1492" i="10"/>
  <c r="G1491" i="10"/>
  <c r="E1491" i="10"/>
  <c r="K1487" i="10"/>
  <c r="M1486" i="10"/>
  <c r="K1486" i="10"/>
  <c r="M1485" i="10"/>
  <c r="K1485" i="10"/>
  <c r="K1484" i="10"/>
  <c r="M1482" i="10"/>
  <c r="K1482" i="10"/>
  <c r="M1481" i="10"/>
  <c r="K1481" i="10"/>
  <c r="K1479" i="10"/>
  <c r="M1412" i="10"/>
  <c r="D1407" i="10"/>
  <c r="D1403" i="10"/>
  <c r="D1402" i="10"/>
  <c r="D1401" i="10"/>
  <c r="G1368" i="10"/>
  <c r="E1368" i="10"/>
  <c r="E1365" i="10"/>
  <c r="E1362" i="10"/>
  <c r="G1356" i="10"/>
  <c r="E1341" i="10"/>
  <c r="E1338" i="10"/>
  <c r="E1335" i="10"/>
  <c r="E1332" i="10"/>
  <c r="G1314" i="10"/>
  <c r="G1299" i="10"/>
  <c r="E1299" i="10"/>
  <c r="G1297" i="10"/>
  <c r="G1295" i="10"/>
  <c r="G1293" i="10"/>
  <c r="G1291" i="10"/>
  <c r="G1289" i="10"/>
  <c r="G1285" i="10"/>
  <c r="G1277" i="10"/>
  <c r="G1275" i="10"/>
  <c r="G1273" i="10"/>
  <c r="AO1274" i="10" s="1"/>
  <c r="G1269" i="10"/>
  <c r="G1255" i="10"/>
  <c r="E1255" i="10"/>
  <c r="G1249" i="10"/>
  <c r="E1249" i="10"/>
  <c r="G1241" i="10"/>
  <c r="E1241" i="10"/>
  <c r="G1239" i="10"/>
  <c r="E1239" i="10"/>
  <c r="AO1227" i="10"/>
  <c r="AQ1226" i="10"/>
  <c r="AO1225" i="10"/>
  <c r="AQ1224" i="10"/>
  <c r="AO1223" i="10"/>
  <c r="AQ1222" i="10"/>
  <c r="G1222" i="10"/>
  <c r="E1222" i="10"/>
  <c r="G1218" i="10"/>
  <c r="E1218" i="10"/>
  <c r="G1212" i="10"/>
  <c r="E1212" i="10"/>
  <c r="E1210" i="10"/>
  <c r="G1207" i="10"/>
  <c r="E1207" i="10"/>
  <c r="G1205" i="10"/>
  <c r="E1205" i="10"/>
  <c r="G1202" i="10"/>
  <c r="E1202" i="10"/>
  <c r="AO1195" i="10"/>
  <c r="AO1192" i="10"/>
  <c r="AI1174" i="10"/>
  <c r="AK1173" i="10"/>
  <c r="AI1171" i="10"/>
  <c r="AK1170" i="10"/>
  <c r="AI1168" i="10"/>
  <c r="AK1167" i="10"/>
  <c r="G1167" i="10"/>
  <c r="E1167" i="10"/>
  <c r="G1148" i="10"/>
  <c r="E1148" i="10"/>
  <c r="G1137" i="10"/>
  <c r="E1137" i="10"/>
  <c r="G1123" i="10"/>
  <c r="E1123" i="10"/>
  <c r="G1024" i="10"/>
  <c r="G981" i="10"/>
  <c r="E981" i="10"/>
  <c r="E969" i="10"/>
  <c r="AK943" i="10"/>
  <c r="AK940" i="10"/>
  <c r="AK931" i="10"/>
  <c r="AK928" i="10"/>
  <c r="G928" i="10"/>
  <c r="E928" i="10"/>
  <c r="E925" i="10"/>
  <c r="E922" i="10"/>
  <c r="G888" i="10"/>
  <c r="E888" i="10"/>
  <c r="E879" i="10"/>
  <c r="G853" i="10"/>
  <c r="E853" i="10"/>
  <c r="D811" i="10"/>
  <c r="E805" i="10"/>
  <c r="A696" i="10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G694" i="10"/>
  <c r="F694" i="10"/>
  <c r="E694" i="10"/>
  <c r="D694" i="10"/>
  <c r="F677" i="10"/>
  <c r="F675" i="10"/>
  <c r="D675" i="10"/>
  <c r="D674" i="10"/>
  <c r="D672" i="10"/>
  <c r="A670" i="10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G668" i="10"/>
  <c r="E668" i="10"/>
  <c r="F667" i="10"/>
  <c r="F484" i="10" s="1"/>
  <c r="D667" i="10"/>
  <c r="D484" i="10" s="1"/>
  <c r="A502" i="10"/>
  <c r="A508" i="10" s="1"/>
  <c r="A514" i="10" s="1"/>
  <c r="A518" i="10" s="1"/>
  <c r="A520" i="10" s="1"/>
  <c r="A522" i="10" s="1"/>
  <c r="A524" i="10" s="1"/>
  <c r="A530" i="10" s="1"/>
  <c r="A532" i="10" s="1"/>
  <c r="A603" i="10"/>
  <c r="A605" i="10" s="1"/>
  <c r="A625" i="10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293" i="10"/>
  <c r="A295" i="10" s="1"/>
  <c r="A297" i="10" s="1"/>
  <c r="A299" i="10" s="1"/>
  <c r="A303" i="10"/>
  <c r="A307" i="10"/>
  <c r="A309" i="10" s="1"/>
  <c r="A313" i="10"/>
  <c r="A315" i="10" s="1"/>
  <c r="A317" i="10" s="1"/>
  <c r="A319" i="10" s="1"/>
  <c r="A323" i="10"/>
  <c r="A327" i="10"/>
  <c r="A331" i="10"/>
  <c r="A333" i="10" s="1"/>
  <c r="A335" i="10" s="1"/>
  <c r="A337" i="10" s="1"/>
  <c r="A339" i="10" s="1"/>
  <c r="A467" i="10"/>
  <c r="A468" i="10" s="1"/>
  <c r="A469" i="10" s="1"/>
  <c r="A470" i="10" s="1"/>
  <c r="A471" i="10" s="1"/>
  <c r="A473" i="10" s="1"/>
  <c r="A477" i="10" s="1"/>
  <c r="G245" i="10"/>
  <c r="E245" i="10"/>
  <c r="W244" i="10"/>
  <c r="G243" i="10"/>
  <c r="E243" i="10"/>
  <c r="G221" i="10"/>
  <c r="E221" i="10"/>
  <c r="A75" i="10"/>
  <c r="A78" i="10" s="1"/>
  <c r="A343" i="10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I1428" i="10" l="1"/>
  <c r="AO1428" i="10"/>
  <c r="AE486" i="10"/>
  <c r="Y464" i="10"/>
  <c r="Y1426" i="10" s="1"/>
  <c r="Y245" i="10"/>
  <c r="D9" i="10"/>
  <c r="S1427" i="10"/>
  <c r="S1430" i="10" s="1"/>
  <c r="S1423" i="10"/>
  <c r="S1425" i="10" s="1"/>
  <c r="AO1427" i="10"/>
  <c r="Q1423" i="10"/>
  <c r="F9" i="10"/>
  <c r="M1386" i="10"/>
  <c r="M1434" i="10"/>
  <c r="W246" i="10"/>
  <c r="Q1436" i="10"/>
  <c r="Q438" i="10"/>
  <c r="K1074" i="10"/>
  <c r="K1423" i="10" s="1"/>
  <c r="AQ1386" i="10"/>
  <c r="G484" i="10"/>
  <c r="D668" i="10"/>
  <c r="E484" i="10"/>
  <c r="K1427" i="10"/>
  <c r="K1428" i="10"/>
  <c r="M1436" i="10"/>
  <c r="M1440" i="10"/>
  <c r="M1471" i="10"/>
  <c r="M1399" i="10"/>
  <c r="AE1386" i="10"/>
  <c r="M438" i="10"/>
  <c r="F668" i="10"/>
  <c r="G9" i="10"/>
  <c r="Y1467" i="10"/>
  <c r="Y1386" i="10"/>
  <c r="AK1386" i="10"/>
  <c r="AK1467" i="10"/>
  <c r="S1386" i="10"/>
  <c r="M1465" i="10"/>
  <c r="M461" i="10"/>
  <c r="S1469" i="10"/>
  <c r="M1092" i="10"/>
  <c r="M1074" i="10"/>
  <c r="M1426" i="10"/>
  <c r="M9" i="10"/>
  <c r="M1427" i="10"/>
  <c r="E9" i="10"/>
  <c r="M1466" i="10"/>
  <c r="M1431" i="10"/>
  <c r="AI1427" i="10" l="1"/>
  <c r="AQ1423" i="10"/>
  <c r="Y1425" i="10"/>
  <c r="AE1427" i="10"/>
  <c r="AE1430" i="10" s="1"/>
  <c r="Z9" i="10"/>
  <c r="M1430" i="10"/>
  <c r="M1439" i="10"/>
  <c r="M1423" i="10"/>
  <c r="M1425" i="10" s="1"/>
  <c r="AQ1425" i="10" l="1"/>
  <c r="AT1423" i="10"/>
  <c r="AQ1427" i="10"/>
  <c r="AQ1430" i="10" s="1"/>
</calcChain>
</file>

<file path=xl/comments1.xml><?xml version="1.0" encoding="utf-8"?>
<comments xmlns="http://schemas.openxmlformats.org/spreadsheetml/2006/main">
  <authors>
    <author>Парасюк Алёна Юрьевна</author>
  </authors>
  <commentList>
    <comment ref="P470" authorId="0">
      <text>
        <r>
          <rPr>
            <b/>
            <sz val="9"/>
            <color indexed="81"/>
            <rFont val="Tahoma"/>
            <family val="2"/>
            <charset val="204"/>
          </rPr>
          <t>Парасюк Алёна Юрьевна:</t>
        </r>
        <r>
          <rPr>
            <sz val="9"/>
            <color indexed="81"/>
            <rFont val="Tahoma"/>
            <family val="2"/>
            <charset val="204"/>
          </rPr>
          <t xml:space="preserve">
если это ликвидация МКДТП - напишите "Другое"</t>
        </r>
      </text>
    </comment>
    <comment ref="A514" authorId="0">
      <text>
        <r>
          <rPr>
            <b/>
            <sz val="9"/>
            <color indexed="81"/>
            <rFont val="Tahoma"/>
            <family val="2"/>
            <charset val="204"/>
          </rPr>
          <t>Парасюк Алёна Юрьевна:</t>
        </r>
        <r>
          <rPr>
            <sz val="9"/>
            <color indexed="81"/>
            <rFont val="Tahoma"/>
            <family val="2"/>
            <charset val="204"/>
          </rPr>
          <t xml:space="preserve">
красоты ради лучше объединить</t>
        </r>
      </text>
    </comment>
  </commentList>
</comments>
</file>

<file path=xl/sharedStrings.xml><?xml version="1.0" encoding="utf-8"?>
<sst xmlns="http://schemas.openxmlformats.org/spreadsheetml/2006/main" count="5900" uniqueCount="1592">
  <si>
    <t>№</t>
  </si>
  <si>
    <t xml:space="preserve">Стоимость </t>
  </si>
  <si>
    <t>км</t>
  </si>
  <si>
    <t>кв.м</t>
  </si>
  <si>
    <t>кв.м.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</si>
  <si>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</si>
  <si>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</si>
  <si>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</si>
  <si>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</si>
  <si>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</si>
  <si>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</si>
  <si>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</si>
  <si>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</si>
  <si>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>Итого по автомобильным дорогам федерального значения</t>
  </si>
  <si>
    <t>Итого по резервным объектам</t>
  </si>
  <si>
    <t>ИТОГО по резервным объектам</t>
  </si>
  <si>
    <t>ИТОГО по автомобильным дорогам местного значения (улицы)</t>
  </si>
  <si>
    <t>Код в СКДФ</t>
  </si>
  <si>
    <t>Мероприятия, реализуемые в рамках программы в 2019 году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</si>
  <si>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</si>
  <si>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</si>
  <si>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</si>
  <si>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</si>
  <si>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</si>
  <si>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</si>
  <si>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</si>
  <si>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</si>
  <si>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</si>
  <si>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Мероприятия, реализуемые в рамках программы в 2021 году</t>
  </si>
  <si>
    <t>Мероприятия, реализуемые в рамках программы в 2022 году</t>
  </si>
  <si>
    <t>Мероприятия, реализуемые в рамках программы в 2023 году</t>
  </si>
  <si>
    <t>Мероприятия, реализуемые в рамках программы в 2024 году</t>
  </si>
  <si>
    <t>капитальный ремонт</t>
  </si>
  <si>
    <t>реконструкция</t>
  </si>
  <si>
    <t>строительство</t>
  </si>
  <si>
    <t>установка дорожных знаков</t>
  </si>
  <si>
    <t>другое</t>
  </si>
  <si>
    <t>установка направляющих устройств</t>
  </si>
  <si>
    <t>в границах агломерации</t>
  </si>
  <si>
    <t>Примечания</t>
  </si>
  <si>
    <t>Протяженность и площадь покрытия дороги (улицы)</t>
  </si>
  <si>
    <t>в границах субъекта</t>
  </si>
  <si>
    <t xml:space="preserve">Наименование автомобильной дороги (улицы) </t>
  </si>
  <si>
    <t>Ремонт покрытия проезжей части</t>
  </si>
  <si>
    <t>М-3  "Украина" Москва - Калуга - Брянск - граница с Украиной, подъезд к г. Калуге км 3+177 - км 14+960</t>
  </si>
  <si>
    <t>А-130 Москва - Малоярославец - Рославль - граница с Республикой Белоруссия  км 82+170 - км 329+782</t>
  </si>
  <si>
    <t>138+000</t>
  </si>
  <si>
    <t>148+000</t>
  </si>
  <si>
    <t>Р-132 Калуга - Тула - Михайлов  - Рязань     км 9+672 - км 57+376</t>
  </si>
  <si>
    <t>Р-132 Калуга - Тула - Михайлов - Рязань, обход г. Калуги  км 0+000 - км 40+807</t>
  </si>
  <si>
    <t>Р- 92 Калуга - Перемышль - Белев - Орел  км 11+202 -  км 42+719</t>
  </si>
  <si>
    <t>М-3 "Украина" Москва-Калуга-Брянск-граница с Украиной</t>
  </si>
  <si>
    <t>Автомобильная дорога по ул.Грабцевское шоссе</t>
  </si>
  <si>
    <t>Автомобильная дорога по ул.Гурьянова</t>
  </si>
  <si>
    <t>Автомобильная дорога по ул. Ленина</t>
  </si>
  <si>
    <t>Автомобильная дорога по ул. Тульская</t>
  </si>
  <si>
    <t>Автомобильная дорога по ул. Никитина</t>
  </si>
  <si>
    <t>Автомобильная дорогаа по ул. Глаголева</t>
  </si>
  <si>
    <t>Автомобильная дорога по пер. Колхозный</t>
  </si>
  <si>
    <t>Автомобильная дорога по ул. Баженова</t>
  </si>
  <si>
    <t>Автомобильная дорога по ул.Октябрьская</t>
  </si>
  <si>
    <t>Автомобильная дорога в д.Лихун ул.Молодежная</t>
  </si>
  <si>
    <t>Автомобильная дорога по ул.Пухова</t>
  </si>
  <si>
    <t>Автомобильная дорога по ул. Ольговка</t>
  </si>
  <si>
    <t>Автомобильная дорога по пер. Ольговский</t>
  </si>
  <si>
    <t>Автомобильная дорога по ул. Зеленая</t>
  </si>
  <si>
    <t>Автомобильная дорога по ул.Городенская</t>
  </si>
  <si>
    <t>Автомобильная дорога по ул. Пушкина</t>
  </si>
  <si>
    <t>Автомобильная дорога по ул. Марата</t>
  </si>
  <si>
    <t>Автомобильная дорога по ул. Резванская</t>
  </si>
  <si>
    <t>Автомобильная дорога по пр. Ленина</t>
  </si>
  <si>
    <t>Автомобильная дорога по ул. Королёва</t>
  </si>
  <si>
    <t xml:space="preserve">Автомобильная дорога по ул. Гагарина      </t>
  </si>
  <si>
    <t>Автомобильная дорога по ул. Университетская</t>
  </si>
  <si>
    <t>Автомобильная дорога по ул. Красных Зорь</t>
  </si>
  <si>
    <t>Автомобильная дорога по ул. Жукова</t>
  </si>
  <si>
    <t xml:space="preserve">Автомобильная дорога по ул. Жолио-Кюри </t>
  </si>
  <si>
    <t>Автомобильная дорога по ул. Кончаловского</t>
  </si>
  <si>
    <t xml:space="preserve">Автомобильная дорога по ул. Толстого      </t>
  </si>
  <si>
    <t>Автомобильная дорога по ул. Гастелло</t>
  </si>
  <si>
    <t>км 109+878 - км 147+050</t>
  </si>
  <si>
    <t>"Бабынино-Утешево"-Вязовна-Мелечево</t>
  </si>
  <si>
    <t>Извеково-Свиридово</t>
  </si>
  <si>
    <t>Автомобильная дорога  по ул. Дорожная с. Бабынино</t>
  </si>
  <si>
    <t>Автомобильная дорога  по ул. Центральная в  с.Бабынино»</t>
  </si>
  <si>
    <t>Автомобильная дорога  по ул. Молодежная с. Антопьево</t>
  </si>
  <si>
    <t>Автомобильная дорога  по ул.Школьная в п.Воротынск</t>
  </si>
  <si>
    <t>Кудиново - Юрьевское</t>
  </si>
  <si>
    <t>Развилка - Тиняково</t>
  </si>
  <si>
    <t>Окружная г.Калуги – Детчино – Малоярославец» - д.Козлово</t>
  </si>
  <si>
    <t xml:space="preserve"> Автомобильная дорога по ул.Аузина в г.Малоярославец</t>
  </si>
  <si>
    <t>Автомобильная дорога по ул 1-я Аэродромная  в г.Малоярославец</t>
  </si>
  <si>
    <t>Автомобильная дорога по ул. Весенняя в г.Малоярославец</t>
  </si>
  <si>
    <t>Автомобильная дорога по ул. Вокзальная в г. Малоярославец</t>
  </si>
  <si>
    <t>Автомобильная дорога по ул. Гагарина в г.Малоярославец</t>
  </si>
  <si>
    <t>Автомобильная дорога по ул. Герцена в г.Малоярославец</t>
  </si>
  <si>
    <t>Автомобильная дорога по ул. Гоголя в г.Малоярославец</t>
  </si>
  <si>
    <t>Автомобильная дорога по ул. Достоевского в г.Малоярославец</t>
  </si>
  <si>
    <t>Автомобильная дорога по ул. Донская в г.Малоярославец</t>
  </si>
  <si>
    <t>Автомобильная дорога по ул. Заводская  в г.Малоярославец</t>
  </si>
  <si>
    <t>Автомобильная дорога по ул. Звездная в г.Малоярославец</t>
  </si>
  <si>
    <t>Автомобильная дорога по ул. Зимняя в г.Малоярославец</t>
  </si>
  <si>
    <t>Автомобильная дорога по ул. Ивановская в г.Малоярославец</t>
  </si>
  <si>
    <t>Автомобильная дорога по ул. Кирова  в г.Малоярославец</t>
  </si>
  <si>
    <t>Автомобильная дорога по ул. Комсомольская в г. Малоярославец</t>
  </si>
  <si>
    <t>Автомобильная дорога по ул. Кутузова в г.Малоярославец</t>
  </si>
  <si>
    <t xml:space="preserve">Автомобильная дорога по ул. К.Маркса в г. Малоярославец </t>
  </si>
  <si>
    <t>Автомобильная дорога по ул.  Маяковского в г.Малоярославец</t>
  </si>
  <si>
    <t>Автомобильная дорога по ул. Мирная в г.Малоярославец</t>
  </si>
  <si>
    <t>Автомобильная дорога по ул. Мичурина в г.Малоярославец</t>
  </si>
  <si>
    <t>Автомобильная дорога по ул. Молодёжная в г.Малоярославец</t>
  </si>
  <si>
    <t>Автомобильная дорога по ул. Обнинская в г. Малоярославец</t>
  </si>
  <si>
    <t>Автомобильная дорога по ул. Парижской коммуны в г.Малоярославец</t>
  </si>
  <si>
    <t>Автомобильная дорога по ул. Первомайская в г.Малоярославец</t>
  </si>
  <si>
    <t>Автомобильная дорога по ул. Пролетарская в г.Малоярославец</t>
  </si>
  <si>
    <t>Автомобильная дорога по ул. Радужная в г.Малоярославец</t>
  </si>
  <si>
    <t>Автомобильная дорога по ул. Рождественская в г.Малоярославец</t>
  </si>
  <si>
    <t>Автомобильная дорога по ул. Российских газовиков в г.Малоярославец</t>
  </si>
  <si>
    <t>Автомобильная дорога по ул. 53-ей Саратовской дивизии в г.Малоярославец</t>
  </si>
  <si>
    <t>Автомобильная дорога по ул. Григория Соколова в г.Малоярославец</t>
  </si>
  <si>
    <t>Автомобильная дорога по ул. 17-й Стрелковой дивизии в г.Малоярославец</t>
  </si>
  <si>
    <t>Автомобильная дорога по ул. Футбольная в г.Малоярославец</t>
  </si>
  <si>
    <t>Автомобильная дорога по ул. Центральная в г.Малоярославец</t>
  </si>
  <si>
    <t>Автомобильная дорога по ул. Чернышевского в г.Малоярославец</t>
  </si>
  <si>
    <t>Автомобильная дорога по ул. Чурикова в г.Малоярославец</t>
  </si>
  <si>
    <t>Автомобильная дорога по ул. Энтузиастов в г.Малоярославец</t>
  </si>
  <si>
    <t>Болобоново-Ярцево</t>
  </si>
  <si>
    <t xml:space="preserve">"Галкино - Плюсково" - Озерна </t>
  </si>
  <si>
    <t>Дворцы - Камельгино</t>
  </si>
  <si>
    <t>Редькино - Фролово</t>
  </si>
  <si>
    <t>"Кондрово - Никольское" - Прудново</t>
  </si>
  <si>
    <t>"Калуга-Медынь"-п. Пятовский"-Акатово</t>
  </si>
  <si>
    <t>"Калуга - Медынь" - п.Пятовский" - Мишнево</t>
  </si>
  <si>
    <t>Автомобильная дорога по ул.Вокзальная  в г.Кондрово</t>
  </si>
  <si>
    <t>Автомобильная дорога по ул.Ленина  в г.Кондрово</t>
  </si>
  <si>
    <t>Автомобильная дорога по  ул.Школьная  в г.Кондрово</t>
  </si>
  <si>
    <t>Автомобильная дорога по ул.Фрунзе  в г.Кондрово</t>
  </si>
  <si>
    <t>Автомобильная дорога по ул.Стефанова  в г.Кондрово</t>
  </si>
  <si>
    <t>Автомобильная дорога по  ул.Рабочая  в г.Кондрово</t>
  </si>
  <si>
    <t>Автомобильная дорога по  ул.Луначарского  в г.Кондрово</t>
  </si>
  <si>
    <t>Автомобильная дорога по ул.Свердлова  в г.Кондрово</t>
  </si>
  <si>
    <t>Автомобильная дорога по  ул.Ветеранов  в г.Кондрово</t>
  </si>
  <si>
    <t>Автомобильная дорога по  ул.Заречная  в г.Кондрово</t>
  </si>
  <si>
    <t>Автомобильная дорога по ул.Лермонтова  в г.Кондрово</t>
  </si>
  <si>
    <t>Автомобильная дорога по  ул.Садовая  в г.Кондрово</t>
  </si>
  <si>
    <t>Автомобильная дорога по ул.Бумажная  в г.Кондрово</t>
  </si>
  <si>
    <t>Автомобильная дорога по ул.Матросова  в г.Кондрово</t>
  </si>
  <si>
    <t>Автомобильная дорога по ул.Жуковского  в г.Кондрово</t>
  </si>
  <si>
    <t>Автомобильная дорога по ул.К.Маркса  в г.Кондрово</t>
  </si>
  <si>
    <t>Автомобильная дорога по ул.Куйбышева  в г.Кондрово</t>
  </si>
  <si>
    <t>Автомобильная дорога по ул.Мира  в г.Кондрово</t>
  </si>
  <si>
    <t>Автомобильная дорога по пер.Куйбышева в г.Кондрово</t>
  </si>
  <si>
    <t>Автомобильная дорога по ул.Новая в г.Кондрово</t>
  </si>
  <si>
    <t>Автомобильная дорога по ул.Ярославского  в г.Кондрово</t>
  </si>
  <si>
    <t xml:space="preserve">Автомобильная дорога по ул. 8 Марта в г.Кондрово  </t>
  </si>
  <si>
    <t>Автомобильная дорога по  ул.Кр.Октябрь в г.Кондрово</t>
  </si>
  <si>
    <t>Автомобильная дорога по ул.Чапаева  в г.Кондрово</t>
  </si>
  <si>
    <t>Автомобильная дорога по ул.Плеханова  в г.Кондрово</t>
  </si>
  <si>
    <t>Автомобильная дорога по ул.Чехова  в г.Кондрово</t>
  </si>
  <si>
    <t>Автомобильная дорога по ул.М.Жукова  в г.Кондрово</t>
  </si>
  <si>
    <t>Автомобильная дорога по ул.Космонавта Волкова  в г.Кондрово</t>
  </si>
  <si>
    <t>Автомобильная дорога по ул. Октябрьская в п.Товарково</t>
  </si>
  <si>
    <t>Автомобильная дорога по мкр. Первомайский  в п.Товарково</t>
  </si>
  <si>
    <t>Автомобильная дорога по ул.Советская в п.Полотняный завод</t>
  </si>
  <si>
    <t>Автомобильная дорога по ул.Прончищева</t>
  </si>
  <si>
    <t>Автомобильная дорога по ул. Терепецкое кольцо</t>
  </si>
  <si>
    <t>Автомобильная дорога по ул. Зерновая</t>
  </si>
  <si>
    <t>Автомобильная дорога по ул.Пролетарская</t>
  </si>
  <si>
    <t>Автомобильная дорога в Пригородном районе г.Калуга, от конца ул.Киевка г.Калуги (ручей Киевка) — п.Турынино — мост через р.Калужка д.Ждамирово (до границы Ферзиковского района)</t>
  </si>
  <si>
    <t>Автомобильная дорога по ул. Луначарского</t>
  </si>
  <si>
    <t>Автомобильная дорога по ул. Вооруженного Восстания</t>
  </si>
  <si>
    <t>Автомобильная дорога по ул. Максима Горького</t>
  </si>
  <si>
    <t>Автомобильная дорога по ул.Черносвитинская</t>
  </si>
  <si>
    <t>Автомобильная дорога по пер.Вагонный</t>
  </si>
  <si>
    <t>Автомобильная дорога от д.Карачево до Муратовский Щебзавод</t>
  </si>
  <si>
    <t>Автомобильная дорога по Колхозному проезду</t>
  </si>
  <si>
    <t>Автомобильная дорога по ул. Кирпичная</t>
  </si>
  <si>
    <t>Автомобильная дорога по 2-му Брусничному пер.</t>
  </si>
  <si>
    <t>Автомобильная дорога по ул.Колхозная</t>
  </si>
  <si>
    <t>Автомобильная дорога по ул. Герцена</t>
  </si>
  <si>
    <t>Автомобильная дорога по 1-му Стекольному пер.</t>
  </si>
  <si>
    <t>Автомобильная дорога по ул. Врубовая</t>
  </si>
  <si>
    <t>Автомобильная дорога по ул. Вагонная</t>
  </si>
  <si>
    <t>Автомобильная дорога по ул.Фридриха Энгельса</t>
  </si>
  <si>
    <t>Автомобильная дорога по ул. Спартака</t>
  </si>
  <si>
    <t>Автомобильная дорога по ул.Московская</t>
  </si>
  <si>
    <t>Автомобильная дорога по Одоевскому шоссе</t>
  </si>
  <si>
    <t>Автомобильная дорога по пер. Средний</t>
  </si>
  <si>
    <t>Автомобильная дорога по пер. Литейный</t>
  </si>
  <si>
    <t>Автомобильная дорога по ул. Новорежская</t>
  </si>
  <si>
    <t>Автомобильная дорога по пер. Суворова</t>
  </si>
  <si>
    <t>Автомобильная дорога по ул. Светлая</t>
  </si>
  <si>
    <t>Автомобильная дорога  от ул. Светлая до поворота на Муратовский щебзавод</t>
  </si>
  <si>
    <t>Автомобильная дорога по ул.Воскресенская</t>
  </si>
  <si>
    <t>Автомобильная дорога по ул.Космонавта Пацаева</t>
  </si>
  <si>
    <t>Автомобильная дорога по ул. Чебышева</t>
  </si>
  <si>
    <t>Автомобильная дорога по ул. Спичечная</t>
  </si>
  <si>
    <t>Автомобильная дорога по ул. Некрасова</t>
  </si>
  <si>
    <t>Автомобильная дорога по ул. Александра Матросова</t>
  </si>
  <si>
    <t>Автомобильная дорога по ул. Николая Островского</t>
  </si>
  <si>
    <t>Автомобильная дорога по пер. 2-й Больничный</t>
  </si>
  <si>
    <t>Автомобильная дорога по ул. Салтыкова-Щедрина</t>
  </si>
  <si>
    <t>Автомобильная дорога по ул. Турынинская</t>
  </si>
  <si>
    <t>Автомобильная дорога по ул. Складская</t>
  </si>
  <si>
    <t>Автомобильная дорога по проезду Воинский</t>
  </si>
  <si>
    <t>Автомобильная дорога по ул. Тепличная</t>
  </si>
  <si>
    <t>Автомобильная дорога по ул. Степная</t>
  </si>
  <si>
    <t>Автомобильная дорога по ул. Спортивная</t>
  </si>
  <si>
    <t>Автомобильная дорога по ул. Звездная</t>
  </si>
  <si>
    <t>Автомобильная дорога по пер. Луговой</t>
  </si>
  <si>
    <t>Автомобильная дорога по пер. 8 Марта</t>
  </si>
  <si>
    <t>Автомобильная дорога по ул.8 Марта</t>
  </si>
  <si>
    <t>Автомобильная дорога по пер. Механизаторов</t>
  </si>
  <si>
    <t>Автомобильная дорога по пер.Поселковый</t>
  </si>
  <si>
    <t>Автомобильная дорога по ул.Петра Семенова</t>
  </si>
  <si>
    <t>Автомобильная дорога по ул.Ломоносова</t>
  </si>
  <si>
    <t>Автомобильная дорога по ул.Социалистическая</t>
  </si>
  <si>
    <t>Автомобильная дорога по ул. Широкая</t>
  </si>
  <si>
    <t>Автомобильная дорога по пер.Чичерина</t>
  </si>
  <si>
    <t>Автомобильная дорога по ул.Красная Гора</t>
  </si>
  <si>
    <t>Автомобильная дорога по ул. Мельничная</t>
  </si>
  <si>
    <t>Автомобильная дорога  по пер. Малинники</t>
  </si>
  <si>
    <t>Автомобильная дорога  по ул. Малинники</t>
  </si>
  <si>
    <t>Автомобильная дорога по ул. Выгонная</t>
  </si>
  <si>
    <t>Автомобильная дорога по 2-му Красносельскому пер.</t>
  </si>
  <si>
    <t>Автомобильная дорога по ул. Кирпичный завод МПС (п.Железнодорожников)</t>
  </si>
  <si>
    <t>Автомобильная дорога по ул. Больничная</t>
  </si>
  <si>
    <t>Автомобильная дорога по мостовому переходу через р.Ока с транспортной развязкой по ул.Гагарина</t>
  </si>
  <si>
    <t>Автомобильная дорога по пер. 2-й Тульский</t>
  </si>
  <si>
    <t>Автомобильная дорога по ул. Дорожная (Малинники)</t>
  </si>
  <si>
    <t>Автомобильная дорога по ул. Путейская (Окружная 10-го троллейбусного маршрута)</t>
  </si>
  <si>
    <t>Автомобильная дорога  по ул.Вишневая</t>
  </si>
  <si>
    <t>Автомобильная дорога по ул. Алексеевская</t>
  </si>
  <si>
    <t>Автомобильная дорога по пер. 1 – й Красносельский</t>
  </si>
  <si>
    <t>Автомобильная дорога по ул. Чапаева</t>
  </si>
  <si>
    <t>Автомобильная дорога по ул. Чижевского</t>
  </si>
  <si>
    <t>Автомобильная дорога по ул.Параллельная</t>
  </si>
  <si>
    <t>Автомобильная дорога в пригородном районе г.Калуги от автодороги «Калуга-Орел» (поворот на д.Колюпаново) — д.Колюпаново — кольцо по д.Колюпаново и 600м подъезд к дачным участкам</t>
  </si>
  <si>
    <t>Автомобильная дорога по ул. Константиновых</t>
  </si>
  <si>
    <t>Автомобильная дорога по ул. Болдина</t>
  </si>
  <si>
    <t>Автомобильная дорога по ул.Адмирала Унковского</t>
  </si>
  <si>
    <t>Автомобильная дорога по ул. Волковская</t>
  </si>
  <si>
    <t>Автомобильная дорога по ул.Труда</t>
  </si>
  <si>
    <t>Автомобильная дорога по пер. Чапаева</t>
  </si>
  <si>
    <t>Автомобильная дорога по ул. Калужка</t>
  </si>
  <si>
    <t>Автомобильная дорога по ул. 5-я Линия</t>
  </si>
  <si>
    <t>Автомобильная дорога по ул.Пригородная</t>
  </si>
  <si>
    <t>Автомобильная дорога по ул. Литейная</t>
  </si>
  <si>
    <t>Автомобильная дорога по ул.Мира</t>
  </si>
  <si>
    <t>Автомобильная дорога в д.Пучково, ул.Центральная</t>
  </si>
  <si>
    <t>д. Н. Косьмово – д. В. Косьмово</t>
  </si>
  <si>
    <t>д.В.Вялицы - д.Н.Вялицы</t>
  </si>
  <si>
    <t xml:space="preserve">с.  Калужская опытная сельскохозяйственная станция – д. Столпово </t>
  </si>
  <si>
    <t>д. Большие Козлы – д. Еловка</t>
  </si>
  <si>
    <t>д. Хотисино – д. Холмы</t>
  </si>
  <si>
    <t>«Калуга-Тула»-д.Фитинино</t>
  </si>
  <si>
    <t>д. Макарово – д. Гулево</t>
  </si>
  <si>
    <t>«Калуга-Тула»- д.Крутицы</t>
  </si>
  <si>
    <t>1Р132 «Калуга – Тула – Михайлов – Рязань» – с.Рождественно</t>
  </si>
  <si>
    <t>Калуга - Ферзиково - Таруса - Серпухов - Малая Слободка</t>
  </si>
  <si>
    <t>Ястребовка - Андреевское</t>
  </si>
  <si>
    <t>Ястребовка - Андреевское - Песочня</t>
  </si>
  <si>
    <t>"Калуга - Ферзиково - Таруса - Серпухов" - Малая Слободка" - Красотынка</t>
  </si>
  <si>
    <t>Сашкино - Асеевки</t>
  </si>
  <si>
    <t>Калуга - Ферзиково - Таруса - Серпухов - Староселиваново" - Комола</t>
  </si>
  <si>
    <t>Староселиваново - Мешково</t>
  </si>
  <si>
    <t>Староселиваново - Бунаково</t>
  </si>
  <si>
    <t>Воскресенское - Фелисово</t>
  </si>
  <si>
    <t>Калуга - Ферзиково - Таруса - Серпухов - Петрово</t>
  </si>
  <si>
    <t xml:space="preserve">Автомобильная дорога по ул.Центральной в п. Дугна </t>
  </si>
  <si>
    <t xml:space="preserve">Автомобильная дорога по ул.Садовой в п. Дугна </t>
  </si>
  <si>
    <t xml:space="preserve">Автомобильная дорога по ул.Ленина в п. Дугна </t>
  </si>
  <si>
    <t>Автомобильная дорога в д. Натальино</t>
  </si>
  <si>
    <t>Автомобильная дорога по ул. Мира в с. Кольцово</t>
  </si>
  <si>
    <t>Автомобильная дорога общего пользования по ул. Садовая в д. Бебелево</t>
  </si>
  <si>
    <t>Автомобильная дорога по ул.Парковая в п. Ферзиково</t>
  </si>
  <si>
    <t>Автомобильная дорога по ул.Колхозная в п. Ферзиково</t>
  </si>
  <si>
    <t>2239392</t>
  </si>
  <si>
    <t>2246665</t>
  </si>
  <si>
    <t>2242005</t>
  </si>
  <si>
    <t>2239034</t>
  </si>
  <si>
    <t>2240533</t>
  </si>
  <si>
    <t>2245607</t>
  </si>
  <si>
    <t>2245000</t>
  </si>
  <si>
    <t>2240118</t>
  </si>
  <si>
    <t>2240724</t>
  </si>
  <si>
    <t>2241008</t>
  </si>
  <si>
    <t>2240680</t>
  </si>
  <si>
    <t>2241272</t>
  </si>
  <si>
    <t>2245602</t>
  </si>
  <si>
    <t>2245055</t>
  </si>
  <si>
    <t>2243170</t>
  </si>
  <si>
    <t>2238596</t>
  </si>
  <si>
    <t>2242146</t>
  </si>
  <si>
    <t>2241815</t>
  </si>
  <si>
    <t>2241676</t>
  </si>
  <si>
    <t>2240040</t>
  </si>
  <si>
    <t>2243872</t>
  </si>
  <si>
    <t>2242924</t>
  </si>
  <si>
    <t>2238212</t>
  </si>
  <si>
    <t>2242468</t>
  </si>
  <si>
    <t>2244170</t>
  </si>
  <si>
    <t>2242601</t>
  </si>
  <si>
    <t>2241064</t>
  </si>
  <si>
    <t>2244788</t>
  </si>
  <si>
    <t>2241437</t>
  </si>
  <si>
    <t>2240338</t>
  </si>
  <si>
    <t>2239700</t>
  </si>
  <si>
    <t>2241996</t>
  </si>
  <si>
    <t>2246200</t>
  </si>
  <si>
    <t>2246099</t>
  </si>
  <si>
    <t>2238787</t>
  </si>
  <si>
    <t>2239896</t>
  </si>
  <si>
    <t>2246882</t>
  </si>
  <si>
    <t>2242264</t>
  </si>
  <si>
    <t>2240441</t>
  </si>
  <si>
    <t>2239661</t>
  </si>
  <si>
    <t>2242417</t>
  </si>
  <si>
    <t>2240741</t>
  </si>
  <si>
    <t>2242451</t>
  </si>
  <si>
    <t>2239158</t>
  </si>
  <si>
    <t>2240488</t>
  </si>
  <si>
    <t>2241016</t>
  </si>
  <si>
    <t>2246707</t>
  </si>
  <si>
    <t>2238393</t>
  </si>
  <si>
    <t>2240522</t>
  </si>
  <si>
    <t>2238871</t>
  </si>
  <si>
    <t>2240002</t>
  </si>
  <si>
    <t>2238805</t>
  </si>
  <si>
    <t>2243752</t>
  </si>
  <si>
    <t>2240358</t>
  </si>
  <si>
    <t>2238648</t>
  </si>
  <si>
    <t>2239212</t>
  </si>
  <si>
    <t>2240326</t>
  </si>
  <si>
    <t>2244963</t>
  </si>
  <si>
    <t>2240440</t>
  </si>
  <si>
    <t>2246409</t>
  </si>
  <si>
    <t>2239566</t>
  </si>
  <si>
    <t>2238580</t>
  </si>
  <si>
    <t>2245405</t>
  </si>
  <si>
    <t>2245530</t>
  </si>
  <si>
    <t>2246759</t>
  </si>
  <si>
    <t>2244696</t>
  </si>
  <si>
    <t>2239518</t>
  </si>
  <si>
    <t>2239330</t>
  </si>
  <si>
    <t>2244075</t>
  </si>
  <si>
    <t>2238072</t>
  </si>
  <si>
    <t>2241400</t>
  </si>
  <si>
    <t>2245884</t>
  </si>
  <si>
    <t>2240497</t>
  </si>
  <si>
    <t>2244178</t>
  </si>
  <si>
    <t>2245281</t>
  </si>
  <si>
    <t>2244302</t>
  </si>
  <si>
    <t>2239455</t>
  </si>
  <si>
    <t>2242646</t>
  </si>
  <si>
    <t>2242652</t>
  </si>
  <si>
    <t>2241810</t>
  </si>
  <si>
    <t>2244403</t>
  </si>
  <si>
    <t>2240998</t>
  </si>
  <si>
    <t>2242531</t>
  </si>
  <si>
    <t>2241995</t>
  </si>
  <si>
    <t>2245559</t>
  </si>
  <si>
    <t>2241892</t>
  </si>
  <si>
    <t>2238642</t>
  </si>
  <si>
    <t>2243388</t>
  </si>
  <si>
    <t>2244947</t>
  </si>
  <si>
    <t>2245378</t>
  </si>
  <si>
    <t>2242371</t>
  </si>
  <si>
    <t>2243843</t>
  </si>
  <si>
    <t>2239285</t>
  </si>
  <si>
    <t>2242508</t>
  </si>
  <si>
    <t>2239029</t>
  </si>
  <si>
    <t>2238968</t>
  </si>
  <si>
    <t>2240638</t>
  </si>
  <si>
    <t>2246863</t>
  </si>
  <si>
    <t>2239292</t>
  </si>
  <si>
    <t>2239914</t>
  </si>
  <si>
    <t>2245012</t>
  </si>
  <si>
    <t>2243846</t>
  </si>
  <si>
    <t>2240510</t>
  </si>
  <si>
    <t>2243382</t>
  </si>
  <si>
    <t>2245017</t>
  </si>
  <si>
    <t>2242469</t>
  </si>
  <si>
    <t>2242524</t>
  </si>
  <si>
    <t>2243701</t>
  </si>
  <si>
    <t>2238475</t>
  </si>
  <si>
    <t>2246746</t>
  </si>
  <si>
    <t>2245471</t>
  </si>
  <si>
    <t>2246796</t>
  </si>
  <si>
    <t>2243292</t>
  </si>
  <si>
    <t>2242372</t>
  </si>
  <si>
    <t>2238506</t>
  </si>
  <si>
    <t>2242604</t>
  </si>
  <si>
    <t>2239904</t>
  </si>
  <si>
    <t>2239044</t>
  </si>
  <si>
    <t>2238295</t>
  </si>
  <si>
    <t>2243035</t>
  </si>
  <si>
    <t>2240586</t>
  </si>
  <si>
    <t>2245643</t>
  </si>
  <si>
    <t>2245945</t>
  </si>
  <si>
    <t>2245222</t>
  </si>
  <si>
    <t>2246431</t>
  </si>
  <si>
    <t>0+800</t>
  </si>
  <si>
    <t>ул.Тельмана</t>
  </si>
  <si>
    <t>гаражный кооператив</t>
  </si>
  <si>
    <t>ул.Советская</t>
  </si>
  <si>
    <t>2245647</t>
  </si>
  <si>
    <t>2246187</t>
  </si>
  <si>
    <t>пер.Малинники</t>
  </si>
  <si>
    <t>ул.Северная</t>
  </si>
  <si>
    <t>д. 13 по пер.Малинники</t>
  </si>
  <si>
    <t>ул.Зерновая</t>
  </si>
  <si>
    <t>ул.Садовая</t>
  </si>
  <si>
    <t>д.32 по ул.Выгонная</t>
  </si>
  <si>
    <t>ул.Красносельская</t>
  </si>
  <si>
    <t>д. 12 по 2-му Красносельскому пер.</t>
  </si>
  <si>
    <t>ул.Никитина</t>
  </si>
  <si>
    <t>Пер. 2-й Больничный</t>
  </si>
  <si>
    <t>Тульское шоссе</t>
  </si>
  <si>
    <t>ул.Тульская</t>
  </si>
  <si>
    <t>пер.Ольговский</t>
  </si>
  <si>
    <t>пер.Дорожный</t>
  </si>
  <si>
    <t>2241085</t>
  </si>
  <si>
    <t>ул.Шоссейная</t>
  </si>
  <si>
    <t>Автомобильная дорога по ул. Парижской Коммуны</t>
  </si>
  <si>
    <t>ул.Октябрьская</t>
  </si>
  <si>
    <t>д. 46 по ул.Парижской коммуны</t>
  </si>
  <si>
    <t>проезд от ул.Московская к ул.Алексеевская</t>
  </si>
  <si>
    <t>д.14 по ул.Карла Либкнехта</t>
  </si>
  <si>
    <t>д. 8 по пер. 1 Красносельский</t>
  </si>
  <si>
    <t>ул.Болотникова</t>
  </si>
  <si>
    <t>Грабцевское шоссе</t>
  </si>
  <si>
    <t>д.2 по ул.Адмирала Унковского</t>
  </si>
  <si>
    <t>ГБУ ГЭК «Калужский»</t>
  </si>
  <si>
    <t>жилые постройки в д.Волково</t>
  </si>
  <si>
    <t>ул.Чапаева</t>
  </si>
  <si>
    <t>ул.Новаторская</t>
  </si>
  <si>
    <t>ул.Хитровка</t>
  </si>
  <si>
    <t>конец частного сектора</t>
  </si>
  <si>
    <t>д. 18 по ул. 5 Линия</t>
  </si>
  <si>
    <t>д./с Медвежонок</t>
  </si>
  <si>
    <t>0+000</t>
  </si>
  <si>
    <t>0+510</t>
  </si>
  <si>
    <t>1+300</t>
  </si>
  <si>
    <t>Автодорога по ул. Энгельса</t>
  </si>
  <si>
    <t>Автодорога по ул. Мира</t>
  </si>
  <si>
    <t xml:space="preserve">Автодорога по ул. Калужская   </t>
  </si>
  <si>
    <t>Автодорога по ул. Кутузова</t>
  </si>
  <si>
    <t>Автодорога по ул. Гурьянова</t>
  </si>
  <si>
    <t xml:space="preserve">Автодорога по ул. Шацкого     </t>
  </si>
  <si>
    <t>Автодорога по ул. Зои Космодемьянской</t>
  </si>
  <si>
    <t>Автодорога по ул. Коммунальный проезд</t>
  </si>
  <si>
    <t xml:space="preserve">Автодорога от ул. Менделеева через Кончаловские горы, ж/д тоннель с выездом на шоссе Москва-Варшава                 </t>
  </si>
  <si>
    <t>Автодорога по ул. Маяковского</t>
  </si>
  <si>
    <t>Автодорога на привокзальной площади</t>
  </si>
  <si>
    <t>2245571</t>
  </si>
  <si>
    <t>Автодорога по пр. Маркса</t>
  </si>
  <si>
    <t>Автодорога по ул. Белкинская</t>
  </si>
  <si>
    <t>Автодорога по ул. Аксенова</t>
  </si>
  <si>
    <t xml:space="preserve">Автодорога по ул. Победы        </t>
  </si>
  <si>
    <t>Автодорога по ул. Комсомольская</t>
  </si>
  <si>
    <t>Автодорога по ул. Блохинцева</t>
  </si>
  <si>
    <t>2242108</t>
  </si>
  <si>
    <t>ул.Товарная</t>
  </si>
  <si>
    <t>3+750</t>
  </si>
  <si>
    <t xml:space="preserve">Автомобильная дорога по ул. Плеханова </t>
  </si>
  <si>
    <t>Автомобильная дорога по ул. Рылеева</t>
  </si>
  <si>
    <t xml:space="preserve">Автомобильная дорога по ул. Академика Королева </t>
  </si>
  <si>
    <t>Автомобильная дорога по пер. Сельский</t>
  </si>
  <si>
    <t>Реконструкция</t>
  </si>
  <si>
    <t>Автодорога №1 подъездная и внутриплощадочная МПЗ, № 2 межплощадочная МПЗ</t>
  </si>
  <si>
    <t>Участок автодороги ул. Комсомольской от хлебозавода до ул.Менделеева</t>
  </si>
  <si>
    <t>Автомобильная дорога  по ул.Зеленая в п.Бабынино</t>
  </si>
  <si>
    <t>2+020</t>
  </si>
  <si>
    <t>0+520</t>
  </si>
  <si>
    <t>4+000</t>
  </si>
  <si>
    <t>0+324</t>
  </si>
  <si>
    <t>0+893</t>
  </si>
  <si>
    <t>0+790</t>
  </si>
  <si>
    <t>Автомобильная дорога  по ул.Березовая в п.Воротынск</t>
  </si>
  <si>
    <t>Автомобильная дорога по с.Муромцево</t>
  </si>
  <si>
    <t>Автомобильная дорога д. Лопухино</t>
  </si>
  <si>
    <t>Автомобильная дорога по ул.50 лет Победы в п.Воротынск</t>
  </si>
  <si>
    <t>0+364</t>
  </si>
  <si>
    <t>Автодорога по с. Вязовна</t>
  </si>
  <si>
    <t>1+030</t>
  </si>
  <si>
    <t xml:space="preserve">Автодорога п.Газопровод по ул.Ленина </t>
  </si>
  <si>
    <t>Автодорога п.Газопровод по ул.Парковая</t>
  </si>
  <si>
    <t>0+910</t>
  </si>
  <si>
    <t>0+480</t>
  </si>
  <si>
    <t>Автомобильная дорога Самсоновский проезд</t>
  </si>
  <si>
    <t>2242422</t>
  </si>
  <si>
    <t>Автомобильная дорога по ул.1 Мая в с.Льва Толстого</t>
  </si>
  <si>
    <t>Автомобильная дорога по ул. Центральная  в п.Товарково</t>
  </si>
  <si>
    <t>км 3+300</t>
  </si>
  <si>
    <t xml:space="preserve"> ремонт покрытия проезжей части </t>
  </si>
  <si>
    <t>км 1+400</t>
  </si>
  <si>
    <t>км 1+980</t>
  </si>
  <si>
    <t>км 1+250</t>
  </si>
  <si>
    <t>Автомобильная дорога по ул. Покровского в г.Кондрово</t>
  </si>
  <si>
    <t>Автомобильная дорога по ул. Дробышевская в г.Кондрово</t>
  </si>
  <si>
    <t>Автомобильная дорога по ул.И.Ульянова в г.Кондрово</t>
  </si>
  <si>
    <t>Автомобильная дорога по ул.Советская в п.Пятовский</t>
  </si>
  <si>
    <t>Автомобильная дорога по ул.Молодёжная в п.Полотняный завод</t>
  </si>
  <si>
    <t>км 0+000</t>
  </si>
  <si>
    <t>км 1+140</t>
  </si>
  <si>
    <t>ремонт покрытия дорожной части</t>
  </si>
  <si>
    <t>м2</t>
  </si>
  <si>
    <t>км 1+000</t>
  </si>
  <si>
    <t>км 1+500</t>
  </si>
  <si>
    <t>км 1+050</t>
  </si>
  <si>
    <t>Автомобильная дорога разъезд  73 -"Полотняный Завод-Товарково"</t>
  </si>
  <si>
    <t>шт</t>
  </si>
  <si>
    <t>3+305</t>
  </si>
  <si>
    <t>3+405</t>
  </si>
  <si>
    <t>2+300</t>
  </si>
  <si>
    <t>0+110</t>
  </si>
  <si>
    <t>0+466</t>
  </si>
  <si>
    <t>0+786</t>
  </si>
  <si>
    <t>м кв</t>
  </si>
  <si>
    <t>1+000</t>
  </si>
  <si>
    <t>0+923</t>
  </si>
  <si>
    <t>1+420</t>
  </si>
  <si>
    <t>0+700</t>
  </si>
  <si>
    <t>кв м</t>
  </si>
  <si>
    <t>0+130</t>
  </si>
  <si>
    <t>0+586</t>
  </si>
  <si>
    <t>0+930</t>
  </si>
  <si>
    <t>0+900</t>
  </si>
  <si>
    <t>0+841</t>
  </si>
  <si>
    <t xml:space="preserve">кв м </t>
  </si>
  <si>
    <t>0+600</t>
  </si>
  <si>
    <t>1+200</t>
  </si>
  <si>
    <t>0+300</t>
  </si>
  <si>
    <t>2+000</t>
  </si>
  <si>
    <t>3+200</t>
  </si>
  <si>
    <t>ремонт покрытия проезжей частит</t>
  </si>
  <si>
    <t>кв. м</t>
  </si>
  <si>
    <t>3+260</t>
  </si>
  <si>
    <t>щт.</t>
  </si>
  <si>
    <t>1+610</t>
  </si>
  <si>
    <t>3+130</t>
  </si>
  <si>
    <t>1+980</t>
  </si>
  <si>
    <t>Автодорога по с.Борищево</t>
  </si>
  <si>
    <t>Автодорога по д.Василенки</t>
  </si>
  <si>
    <t>км 0+450</t>
  </si>
  <si>
    <t>км 0+500</t>
  </si>
  <si>
    <t>км 0+600</t>
  </si>
  <si>
    <t>км 0+400</t>
  </si>
  <si>
    <t>км 0+300</t>
  </si>
  <si>
    <t>км 0+700</t>
  </si>
  <si>
    <t>км 0+800</t>
  </si>
  <si>
    <t>км 1+300</t>
  </si>
  <si>
    <t>1+100</t>
  </si>
  <si>
    <t>1+918</t>
  </si>
  <si>
    <t>0+200</t>
  </si>
  <si>
    <t xml:space="preserve">Автодорога по д. Сильково </t>
  </si>
  <si>
    <t>Автодорога по д. Торопово</t>
  </si>
  <si>
    <t>1+068</t>
  </si>
  <si>
    <t>1+040</t>
  </si>
  <si>
    <t>Автодорога по д.Ладыгино</t>
  </si>
  <si>
    <t>Автодорога по д.Большие Сушки</t>
  </si>
  <si>
    <t>Автодорога по д.Крутицы</t>
  </si>
  <si>
    <t>Автодорога по д.Верхнее Косьмово</t>
  </si>
  <si>
    <t>Автодорога по с.Ахлебинино</t>
  </si>
  <si>
    <t>Автодорога по с.Рождественно</t>
  </si>
  <si>
    <t>«Калуга-Тула»-д. Н. Косьмово</t>
  </si>
  <si>
    <t>«Калуга – Козельск»  - д.Кожемякино</t>
  </si>
  <si>
    <t>«"Москва – Киев" - Перемышль» - д. Н. Подгоричи</t>
  </si>
  <si>
    <t>«Москва – Киев - Перемышль» - д. Заболотье</t>
  </si>
  <si>
    <t>«Калуга - Козельск» - д. Б. Сушки</t>
  </si>
  <si>
    <t>«д.Голодское – Суворов - Одоев» - д.Зимницы</t>
  </si>
  <si>
    <t xml:space="preserve">«Калуга -Козельск» - Пионер  лагеря </t>
  </si>
  <si>
    <t>«д.Голодское – Суворов - Одоев» - д. Мехово</t>
  </si>
  <si>
    <t>1Р132 «Калуга – Тула – Михайлов – Рязань» – д. Будаково</t>
  </si>
  <si>
    <t>Автодорога по с.Ильинское</t>
  </si>
  <si>
    <t>Автодорога по д.Григоровское</t>
  </si>
  <si>
    <t>Автодорога по д. Заборовка</t>
  </si>
  <si>
    <t>Автодорога по д.Песочня</t>
  </si>
  <si>
    <t>Автодорога по д. Погореловка</t>
  </si>
  <si>
    <t>Автодорога по д.Хотисино</t>
  </si>
  <si>
    <t>«М-3-Украина»-Бражниково-Орловка-Сосновка-Барановка-Черная-Грязь"</t>
  </si>
  <si>
    <t xml:space="preserve"> Окружная г.Калуги – Детчино – Малоярославец» - Степичево</t>
  </si>
  <si>
    <t>0+661</t>
  </si>
  <si>
    <t>0+272</t>
  </si>
  <si>
    <t>0+375</t>
  </si>
  <si>
    <t>Автомобильная дорога по ул. Заречная  в г.Малоярославец</t>
  </si>
  <si>
    <t>0+736</t>
  </si>
  <si>
    <t>2+210</t>
  </si>
  <si>
    <t>Автомобильная дорога по ул. Коммунистическая в г. Малоярославец</t>
  </si>
  <si>
    <t>1+538</t>
  </si>
  <si>
    <t>2+480</t>
  </si>
  <si>
    <t>1+160</t>
  </si>
  <si>
    <t>0+494</t>
  </si>
  <si>
    <t>0+850</t>
  </si>
  <si>
    <t>1+140</t>
  </si>
  <si>
    <t>0+429</t>
  </si>
  <si>
    <t>1+430</t>
  </si>
  <si>
    <t>0+427</t>
  </si>
  <si>
    <t>1+064</t>
  </si>
  <si>
    <t>1+660</t>
  </si>
  <si>
    <t>0+825</t>
  </si>
  <si>
    <t>1+650</t>
  </si>
  <si>
    <t>0+389</t>
  </si>
  <si>
    <t>1+060</t>
  </si>
  <si>
    <t>0+482</t>
  </si>
  <si>
    <t>0+760</t>
  </si>
  <si>
    <t>Автомобильная дорога по ул. Чистовича в г. Малоярославец</t>
  </si>
  <si>
    <t>0+750</t>
  </si>
  <si>
    <t>0+180</t>
  </si>
  <si>
    <t>0+354</t>
  </si>
  <si>
    <t>0+281</t>
  </si>
  <si>
    <t>0+465</t>
  </si>
  <si>
    <t>1+350</t>
  </si>
  <si>
    <t>0+306</t>
  </si>
  <si>
    <t>0+080</t>
  </si>
  <si>
    <t>Автомобильная дорога в д. Ястребовка</t>
  </si>
  <si>
    <t>0+500</t>
  </si>
  <si>
    <t>Автомобильная дорога  по ул. Парковая в с. Кольцово</t>
  </si>
  <si>
    <t>Автомобильная дорога в д. Сугоново</t>
  </si>
  <si>
    <t>Автомобильная дорога "от реки Ока по ул. Советская до границы с населенным пунктом с. Богданино"</t>
  </si>
  <si>
    <t>0+650</t>
  </si>
  <si>
    <t xml:space="preserve">Автомобильная дорога по ул.Садовая в д. Зудна </t>
  </si>
  <si>
    <t xml:space="preserve">Автомобильная дорога по ул.Лесная в д. Зудна </t>
  </si>
  <si>
    <t xml:space="preserve">Автомобильная  дорога в п.Октябрьский </t>
  </si>
  <si>
    <t>0+920</t>
  </si>
  <si>
    <t>Кондрово-Косатынь</t>
  </si>
  <si>
    <t>Острожное-Костино</t>
  </si>
  <si>
    <t>км 0+00</t>
  </si>
  <si>
    <t>км 7+350</t>
  </si>
  <si>
    <t>С-з Ленина-Кирьяново</t>
  </si>
  <si>
    <t>"п. Пятовский-Фролово"-Вертебы</t>
  </si>
  <si>
    <t>2242583</t>
  </si>
  <si>
    <t>Автомобильная дорога по ул.Новая в с."Совхоз им.Ленина"</t>
  </si>
  <si>
    <t>км 0+364</t>
  </si>
  <si>
    <t>Автомобильная дорога по ул.Спорсмена в п.Полотняный завод</t>
  </si>
  <si>
    <t>км 0+581</t>
  </si>
  <si>
    <t>км0+0,9</t>
  </si>
  <si>
    <t>Автомобильная дорога по  ул.Заречная-2  в г.Кондрово</t>
  </si>
  <si>
    <t>Автомобильная дорога по ул.Полевая  в г.Кондрово</t>
  </si>
  <si>
    <t>Автомобильная дорога по ул.Профсоюзная  в г.Кондрово</t>
  </si>
  <si>
    <t>Автомобильная дорога по ул.Котовского в г.Кондрово</t>
  </si>
  <si>
    <t>Автомобильная дорога по ул.Ген.Миронова в г.Кондрово</t>
  </si>
  <si>
    <t>Автомобильная дорога по ул.Северная в г.Кондрово</t>
  </si>
  <si>
    <t>Автомобильная дорога по ул.Березовая Роща в г.Кондрово</t>
  </si>
  <si>
    <t>Автомобильная дорога по ул.Гагарина в г.Кондрово</t>
  </si>
  <si>
    <t>Автомобильная дорога кв.Речной г.Кондрово</t>
  </si>
  <si>
    <t>Автомобильная дорога по ул.Маяковского в г.Кондрово</t>
  </si>
  <si>
    <t>Автомобильная дорога по пер.Кр.Октябрь в г.Кондрово</t>
  </si>
  <si>
    <t>Автомобильная дорога по ул.Железнодорожная в г.Кондрово</t>
  </si>
  <si>
    <t>Автомобильная дорога по ул.Фабричная в г.Кондрово</t>
  </si>
  <si>
    <t>Автомобильная дорога по ул.Набережная в г.Кондрово</t>
  </si>
  <si>
    <t>км.</t>
  </si>
  <si>
    <t>км 2+585</t>
  </si>
  <si>
    <t>Бели-Никольское</t>
  </si>
  <si>
    <t>км 2+930</t>
  </si>
  <si>
    <t>Автомобильная дорога по ул. Пушкина в с."Совхоз им.Ленина"</t>
  </si>
  <si>
    <t>Автомобильная дорога по ул. Божедомовой  в с."Совхоз им.Ленина"</t>
  </si>
  <si>
    <t>Автомобильная дорога по ул.Лесная в с."Совхоз им.Ленина"</t>
  </si>
  <si>
    <t>км 0+345</t>
  </si>
  <si>
    <t>км 0+242</t>
  </si>
  <si>
    <t>км 0+816</t>
  </si>
  <si>
    <t xml:space="preserve"> "Калуга-Медынь"-п. Пятовский</t>
  </si>
  <si>
    <t>Автомобильная дорога по ул.Гоголя  в г.Кондрово</t>
  </si>
  <si>
    <t>км 0+200</t>
  </si>
  <si>
    <t>Автомобильная дорога по проезд Мира в г.Кондрово</t>
  </si>
  <si>
    <t>км 1+752</t>
  </si>
  <si>
    <t>0+478</t>
  </si>
  <si>
    <t>1+346</t>
  </si>
  <si>
    <t>1+054</t>
  </si>
  <si>
    <t>Автомобильная дорога по ул.Новая в "Совхоз Чкаловский"</t>
  </si>
  <si>
    <t>укладка слоев износа</t>
  </si>
  <si>
    <t>шероховатая поверхностная обработка</t>
  </si>
  <si>
    <t>обработка защитной пропиткой</t>
  </si>
  <si>
    <t>установка водоотводных лотков</t>
  </si>
  <si>
    <t>Таблица № 2. Перечень автомобильных дорог (улиц) федерального и местного значения и планируемые мероприятия на них для достижения целевых показателей по городской агломерации "Калужская агломерация"</t>
  </si>
  <si>
    <t xml:space="preserve">                  Автомобильные дороги местного значения (улицы)</t>
  </si>
  <si>
    <t>0+666</t>
  </si>
  <si>
    <t>0+432</t>
  </si>
  <si>
    <t>0+292</t>
  </si>
  <si>
    <t>0+275</t>
  </si>
  <si>
    <t>0+787</t>
  </si>
  <si>
    <t>0+366</t>
  </si>
  <si>
    <t>1+400</t>
  </si>
  <si>
    <t>3+500</t>
  </si>
  <si>
    <t>Автодорога по д.Покровское</t>
  </si>
  <si>
    <t>Автодорога по д.Верхнее Алопово</t>
  </si>
  <si>
    <t>0+954</t>
  </si>
  <si>
    <t>1+198</t>
  </si>
  <si>
    <t>0+525</t>
  </si>
  <si>
    <t>1+480</t>
  </si>
  <si>
    <t>0+160</t>
  </si>
  <si>
    <t>0+298</t>
  </si>
  <si>
    <t>0+158</t>
  </si>
  <si>
    <t>0+367</t>
  </si>
  <si>
    <t>0+396</t>
  </si>
  <si>
    <t>3407141</t>
  </si>
  <si>
    <t>Автомобильная дорога ул. Тарутинская (от Синих мостов до Ястребовской развязки)</t>
  </si>
  <si>
    <t>Автомобильная дорога по ул. Полевая  (от ул.Советская до ГНС)</t>
  </si>
  <si>
    <t>Автомобильная дорога от въезда в д.Пучково до ул.Совхозная д.Тинино</t>
  </si>
  <si>
    <t>Автодорога от д.Крутицы до товарищества индивидуальных застройщиков (ТИЗ)</t>
  </si>
  <si>
    <t>2245605</t>
  </si>
  <si>
    <t>Автомобильная дорога в д.Михалево, ул.Михалевская</t>
  </si>
  <si>
    <t>2244535</t>
  </si>
  <si>
    <t>Автомобильная дорога по ул. Линейная</t>
  </si>
  <si>
    <t>2246581</t>
  </si>
  <si>
    <t>Автомобильная дорога по ул.Строительная</t>
  </si>
  <si>
    <t>2239830</t>
  </si>
  <si>
    <t>Автомобильная дорога по ул. Трифоновская</t>
  </si>
  <si>
    <t>2244287</t>
  </si>
  <si>
    <t>Автомобильная дорога по ул.Чистые ключи</t>
  </si>
  <si>
    <t>2240594</t>
  </si>
  <si>
    <t>Автомобильная дорога по ул.Баумана</t>
  </si>
  <si>
    <t>2241830</t>
  </si>
  <si>
    <t>Автомобильная дорога по ул. Турбостроителей</t>
  </si>
  <si>
    <t>2241882</t>
  </si>
  <si>
    <t>Автомобильная дорога по ул. Гагарина</t>
  </si>
  <si>
    <t>2244446</t>
  </si>
  <si>
    <t>Автомобильная дорога по ул.Степана Разина</t>
  </si>
  <si>
    <t>Автомобильная дорога 1Р-132 "Калуга-Тула-Михайлов-Рязань"в границах МО «Город Калуга»</t>
  </si>
  <si>
    <t>Автомобильная дорога по ул.Большевиков</t>
  </si>
  <si>
    <t>2243429</t>
  </si>
  <si>
    <t>Автомобильная дорога по ул. Маяковского</t>
  </si>
  <si>
    <t>2238495</t>
  </si>
  <si>
    <t>Автомобильная дорога в с.Муратовский щебзавод, ул.Карьерная</t>
  </si>
  <si>
    <t>2244072</t>
  </si>
  <si>
    <t>Автомобильная дорога по ул.Новоселки в п.Новый</t>
  </si>
  <si>
    <t>Автомобильная дорога в п.Мирный</t>
  </si>
  <si>
    <t>2240304</t>
  </si>
  <si>
    <t>Автомобильная дорога по ул.Мира, с.Росва</t>
  </si>
  <si>
    <t>2246625</t>
  </si>
  <si>
    <t>Автомобильная дорога по ул. Чичерина</t>
  </si>
  <si>
    <t>2239304</t>
  </si>
  <si>
    <t>Автомобильная дорога по ул. Кирова</t>
  </si>
  <si>
    <t>2238523</t>
  </si>
  <si>
    <t>Автомобильная дорога по пл.Старый Торг</t>
  </si>
  <si>
    <t>2243788</t>
  </si>
  <si>
    <t>Автомобильная дорога по ул.Первомайская</t>
  </si>
  <si>
    <t>2239592</t>
  </si>
  <si>
    <t>Автомобильная дорога по ул.Маршала Жукова</t>
  </si>
  <si>
    <t>2242526</t>
  </si>
  <si>
    <t>Автомобильная дорога по ул.Воронина</t>
  </si>
  <si>
    <t>2244383</t>
  </si>
  <si>
    <t>Автомобильная дорога по ул.Азаровская</t>
  </si>
  <si>
    <t>2238840</t>
  </si>
  <si>
    <t>Автомобильная дорога по ул.Телевизионная</t>
  </si>
  <si>
    <t>2243088</t>
  </si>
  <si>
    <t>Автомобильная дорога по ул. Коммунальная</t>
  </si>
  <si>
    <t>2240140</t>
  </si>
  <si>
    <t>Автомобильная дорога по ул.Поселковая</t>
  </si>
  <si>
    <t>2240530</t>
  </si>
  <si>
    <t>Автомобильная дорога по ул.Огарева</t>
  </si>
  <si>
    <t>2243240</t>
  </si>
  <si>
    <t>Автомобильная дорога по ул. Турынинские дворики</t>
  </si>
  <si>
    <t>2244081</t>
  </si>
  <si>
    <t>Автомобильная дорога по ул. Рубежная</t>
  </si>
  <si>
    <t>2244065</t>
  </si>
  <si>
    <t>Автомобильная дорога по ул.Калинина</t>
  </si>
  <si>
    <t>2239087</t>
  </si>
  <si>
    <t>Автомобильная дорога по  ул. Калужского ополчения</t>
  </si>
  <si>
    <t>2240558</t>
  </si>
  <si>
    <t>Автомобильная дорога по ул. Гвардейская</t>
  </si>
  <si>
    <t>2239170</t>
  </si>
  <si>
    <t>Автомобильная дорога по ул. Заводская</t>
  </si>
  <si>
    <t>2242729</t>
  </si>
  <si>
    <t>Автомобильная дорога по ул. Карачевская</t>
  </si>
  <si>
    <t>2240727</t>
  </si>
  <si>
    <t>Автомобильная дорога по пер. Заводской</t>
  </si>
  <si>
    <t>2238405</t>
  </si>
  <si>
    <t>Автомобильна дорога по ул. Поле Свободы</t>
  </si>
  <si>
    <t>2243984</t>
  </si>
  <si>
    <t>Автомобильная дорога по пер.Воскресенский</t>
  </si>
  <si>
    <t>2241051</t>
  </si>
  <si>
    <t>Автомобильная дорога по ул.Подвойского</t>
  </si>
  <si>
    <t>2239711</t>
  </si>
  <si>
    <t>Автомобильная дорога по ул. Кибальчича</t>
  </si>
  <si>
    <t>2245159</t>
  </si>
  <si>
    <t>Автомобильная дорога по ул. Пестеля</t>
  </si>
  <si>
    <t>2240899</t>
  </si>
  <si>
    <t>Автомобильная дорога по ул. Моторная</t>
  </si>
  <si>
    <t>2240230</t>
  </si>
  <si>
    <t>Автомобильная дорога по ул.Ромодановская</t>
  </si>
  <si>
    <t>2239891</t>
  </si>
  <si>
    <t>Автомобильная дорога по ул.Энергетиков</t>
  </si>
  <si>
    <t>2241407</t>
  </si>
  <si>
    <t>Автомобильная дорога по ул. Постовалова</t>
  </si>
  <si>
    <t>2246883</t>
  </si>
  <si>
    <t>Автомобильная дорога по 2-му Красноармейскому пер.</t>
  </si>
  <si>
    <t>2242612</t>
  </si>
  <si>
    <t>Автомобильная дорога по ул. Промышленная</t>
  </si>
  <si>
    <t>2238763</t>
  </si>
  <si>
    <t>Автомобильная дорога по ул. Космонавта Комарова</t>
  </si>
  <si>
    <t>Автомобильная дорога по Яченской набережной</t>
  </si>
  <si>
    <t>2242552</t>
  </si>
  <si>
    <t>Автомобильная дорога по пер.Безымянный</t>
  </si>
  <si>
    <t>2240006</t>
  </si>
  <si>
    <t>Автомобильная дорога по пер.Григоров</t>
  </si>
  <si>
    <t>2243715</t>
  </si>
  <si>
    <t>Автомобильная дорога по ул. Ипподромная</t>
  </si>
  <si>
    <t>2240589</t>
  </si>
  <si>
    <t>Автомобильная дорога по ул. Песчаная</t>
  </si>
  <si>
    <t>2243220</t>
  </si>
  <si>
    <t>Автомобильная дорога по ул.Льва Толстого</t>
  </si>
  <si>
    <t>2240766</t>
  </si>
  <si>
    <t>Автомобильная дорога по ул. Тельмана</t>
  </si>
  <si>
    <t>2241137</t>
  </si>
  <si>
    <t>Автомобильная дорога по ул. Новая</t>
  </si>
  <si>
    <t>Автомобильная дорога по левобережному подходу к мостовому переходу через р.Ока с транспортной развязкой по ул.Гагарина</t>
  </si>
  <si>
    <t>2245204</t>
  </si>
  <si>
    <t>Автомобильная дорога по ул. Стекольная</t>
  </si>
  <si>
    <t>2242391</t>
  </si>
  <si>
    <t>Автомобильная дорога по ул. Луговая</t>
  </si>
  <si>
    <t>2243960</t>
  </si>
  <si>
    <t>Автомобильная дорога по ул. Радищева</t>
  </si>
  <si>
    <t>2243983</t>
  </si>
  <si>
    <t>Автомобильная дорога по ул.Вилонова</t>
  </si>
  <si>
    <t>2240764</t>
  </si>
  <si>
    <t>Автомобильная дорога по ул.Беляева</t>
  </si>
  <si>
    <t>2244872</t>
  </si>
  <si>
    <t>Автомобильная дорога по ул.Декабристов</t>
  </si>
  <si>
    <t>2240995</t>
  </si>
  <si>
    <t>Автомобильная дорога по ул.Покровская</t>
  </si>
  <si>
    <t>2241495</t>
  </si>
  <si>
    <t>Автомобильная дорога по ул. Забойная</t>
  </si>
  <si>
    <t>2244201</t>
  </si>
  <si>
    <t>Автомобильная дорога по ул. Подгорная</t>
  </si>
  <si>
    <t>2238730</t>
  </si>
  <si>
    <t>Автомобильная дорога по ул. Клюквина</t>
  </si>
  <si>
    <t>автомобильная дорога в пригородном районе г.Калуги, от автодороги «Окружная г.Калуги» (за 1 км до д.Ильинка) — д.Ильинка — д.Жерело — до соединения с автодорогой «Окружная г.Калуги (500 м после д.Жерело)</t>
  </si>
  <si>
    <t>с.Росва, автомобильная дорога на участке от остановки в с.Козлово — габионных очистных фильтрующих сооружений (уч.№3) на объекте Индустриальный парк «Росва»</t>
  </si>
  <si>
    <t>2245761</t>
  </si>
  <si>
    <t>Автомобильная дорога по ул.Изотовская, с.Рябинки</t>
  </si>
  <si>
    <t>2243938</t>
  </si>
  <si>
    <t>Автомобильная дорога в д.Канищево, ул.Кондрова</t>
  </si>
  <si>
    <t>2241868</t>
  </si>
  <si>
    <t>Автомобильная дорога по ул.Лаврова, д.Канищево</t>
  </si>
  <si>
    <t>2239542</t>
  </si>
  <si>
    <t>Автомобильная дорога по ул. Ольговская</t>
  </si>
  <si>
    <t>Автомобильная дорога Р-92 «Калуга-Перемышль-Белев-Орел» в границах МО «Город Калуга»</t>
  </si>
  <si>
    <t>2245186</t>
  </si>
  <si>
    <t>Автомобильная дорога по ул. Лесная, д.Мстихино</t>
  </si>
  <si>
    <t>2245213</t>
  </si>
  <si>
    <t>Автомобильная дорога по ул.Суворова</t>
  </si>
  <si>
    <t>Автомобильная дорога в д.Калашников хутор</t>
  </si>
  <si>
    <t>Автомобильная дорога от автодороги " Правый берег- Шопино" (в д.Шопино)-д.Чижовка с выходом на автодорогу " Правый берег-Шопино</t>
  </si>
  <si>
    <t>2242976</t>
  </si>
  <si>
    <t>Автомобильная дорога по ул.Раздольная в д. Желыбино г. Калуга</t>
  </si>
  <si>
    <t>Автомобильная дорог «Калуга-Орел» - Животинки»</t>
  </si>
  <si>
    <t>Мероприятия в целях обеспечения безопасности дорожного движения</t>
  </si>
  <si>
    <t>Установка недостающих пешеходных ограждений, замена секций пешеходных ограждений</t>
  </si>
  <si>
    <t>Разработка и корректировка проектов организации дорожного движения</t>
  </si>
  <si>
    <t>Содержание светофорных объектов</t>
  </si>
  <si>
    <t>пог.м</t>
  </si>
  <si>
    <t>Автодорога от М-3 "Украина" до ул. Курчатова</t>
  </si>
  <si>
    <t>2238324</t>
  </si>
  <si>
    <t>Автодорога  по ул. Курчатова</t>
  </si>
  <si>
    <t>2242292</t>
  </si>
  <si>
    <t>Автодорога  по ул. Ляшенко</t>
  </si>
  <si>
    <t>2241238</t>
  </si>
  <si>
    <t>Автодорога  Пионерский проезд</t>
  </si>
  <si>
    <t>2245147</t>
  </si>
  <si>
    <t>Автодорога  по ул. Звездная</t>
  </si>
  <si>
    <t>2243549</t>
  </si>
  <si>
    <t>Автодорога  по ул. Московская</t>
  </si>
  <si>
    <t>2238604</t>
  </si>
  <si>
    <t>Автодорога  по ул. Комарова</t>
  </si>
  <si>
    <t>2245696</t>
  </si>
  <si>
    <t>Автодорога  по ул. Цветкова</t>
  </si>
  <si>
    <t>2239223</t>
  </si>
  <si>
    <t xml:space="preserve">Автодорога  по ул. Заводская  </t>
  </si>
  <si>
    <t>2239174</t>
  </si>
  <si>
    <t>Автодорога  по ул. Любого</t>
  </si>
  <si>
    <t>2245254</t>
  </si>
  <si>
    <t xml:space="preserve">Автодорога  по ул. Пирогова     </t>
  </si>
  <si>
    <t>2246493</t>
  </si>
  <si>
    <t>Автодорога  по ул. Горького</t>
  </si>
  <si>
    <t>2244730</t>
  </si>
  <si>
    <t>Автодорога  по ул. Менделеева</t>
  </si>
  <si>
    <t>2243448</t>
  </si>
  <si>
    <t>Автодорога  по ул. Мигунова</t>
  </si>
  <si>
    <t>2242011</t>
  </si>
  <si>
    <t xml:space="preserve">Автодорога  по ул. Пушкина    </t>
  </si>
  <si>
    <t>2246681</t>
  </si>
  <si>
    <t>Автодорога  по ул. Лермонтова</t>
  </si>
  <si>
    <t>2243942</t>
  </si>
  <si>
    <t xml:space="preserve">Автодорога  по пер. Гоголя </t>
  </si>
  <si>
    <t>2238465</t>
  </si>
  <si>
    <t>Автодорога  по ул. Парковая</t>
  </si>
  <si>
    <t>2244445</t>
  </si>
  <si>
    <t>Автодорога по ул. Лейпунского</t>
  </si>
  <si>
    <t>2239696</t>
  </si>
  <si>
    <t>Автодорога  по ул. Осипенко</t>
  </si>
  <si>
    <t>2238263</t>
  </si>
  <si>
    <t xml:space="preserve">Автодорога по ул. Железнодорожная         </t>
  </si>
  <si>
    <t>2241847</t>
  </si>
  <si>
    <t xml:space="preserve">Автодорога по ул. Чкалова     </t>
  </si>
  <si>
    <t>2243268</t>
  </si>
  <si>
    <t xml:space="preserve">Автодорога по ул. Садовая </t>
  </si>
  <si>
    <t>2246890</t>
  </si>
  <si>
    <t>Автодорога по ул. Циолковского</t>
  </si>
  <si>
    <t>2244206</t>
  </si>
  <si>
    <t xml:space="preserve">Автодорога по ул. Чайковского </t>
  </si>
  <si>
    <t>2244193</t>
  </si>
  <si>
    <t xml:space="preserve">Автодорога по ул. Олега Кошевого                               </t>
  </si>
  <si>
    <t>2238125</t>
  </si>
  <si>
    <t>Автодорога по ул. Матросова</t>
  </si>
  <si>
    <t>2240339</t>
  </si>
  <si>
    <t>Автодорога по ул. Киевская</t>
  </si>
  <si>
    <t>2238893</t>
  </si>
  <si>
    <t xml:space="preserve">Автодорога по пер. Садовый   </t>
  </si>
  <si>
    <t>2243327</t>
  </si>
  <si>
    <t>Автодорога по ул. Труда</t>
  </si>
  <si>
    <t>2245039</t>
  </si>
  <si>
    <t xml:space="preserve">Автодорога по ул. Чехова         </t>
  </si>
  <si>
    <t>2240459</t>
  </si>
  <si>
    <t xml:space="preserve">Автодорога по ул. Глинки </t>
  </si>
  <si>
    <t>2241734</t>
  </si>
  <si>
    <t xml:space="preserve">Автодорога по ул. Песчаная   </t>
  </si>
  <si>
    <t>2241213</t>
  </si>
  <si>
    <t>Автодорога по пер. Безымянный</t>
  </si>
  <si>
    <t>2243774</t>
  </si>
  <si>
    <t>Участок автодороги в районе ЦНТ и ЭОУ "Эврика"</t>
  </si>
  <si>
    <t>2244190</t>
  </si>
  <si>
    <t>Автомобильная дорога местного значения к Новой базе, Киевское ш., 60</t>
  </si>
  <si>
    <t>Участок автодороги от Киевского ш. до проходной Новой базы (ОАО "Меркурий-Обнинск")</t>
  </si>
  <si>
    <t>Автодорога Окружная от промплощадки № 2 до АБЗ</t>
  </si>
  <si>
    <t xml:space="preserve">Автодорога подъездная к площадке № 2, Киевское шоссе, 110 </t>
  </si>
  <si>
    <t>Автодорога вдоль п/з Мишково</t>
  </si>
  <si>
    <t>Автодорога к Добринскому кладбищу</t>
  </si>
  <si>
    <t>Автодорога к Передольскому кладбищу</t>
  </si>
  <si>
    <t>Автодорога в районе д.Белкино</t>
  </si>
  <si>
    <t>Бабынинский район</t>
  </si>
  <si>
    <t>Автомобильная дорога по ул. Зеленая в пос. Бабынино</t>
  </si>
  <si>
    <t>Автодорога по с.Муромцево</t>
  </si>
  <si>
    <t>Автодорога д. Лопухино</t>
  </si>
  <si>
    <t>2241874</t>
  </si>
  <si>
    <t>Автомобильная дорога по ул.50 лет Победы в пос. Воротынск</t>
  </si>
  <si>
    <t>2245038</t>
  </si>
  <si>
    <t>Автомобильная дорога по ул.Березовая в пос. Воротынск</t>
  </si>
  <si>
    <t>2238673</t>
  </si>
  <si>
    <t>Автомобильная дорога по ул. Дорожная в с. Бабынино</t>
  </si>
  <si>
    <t>2245692</t>
  </si>
  <si>
    <t>Автомобильная дорога по ул. Центральная в с. Бабынино</t>
  </si>
  <si>
    <t>2243483</t>
  </si>
  <si>
    <t>Автомобильная дорога по ул. Молодежная в с. Антопьево</t>
  </si>
  <si>
    <t>2243475</t>
  </si>
  <si>
    <t>Автомобильная дорога по ул. Школьная в пос. Воротынск</t>
  </si>
  <si>
    <t>2243020</t>
  </si>
  <si>
    <t>Автодорога п.Газопровод по ул.Ленина</t>
  </si>
  <si>
    <t>2246385</t>
  </si>
  <si>
    <t>«Бабынино-Газопровод»-Егорьево-Шугурово</t>
  </si>
  <si>
    <t>«Газопровод-Козино»-Ильино</t>
  </si>
  <si>
    <t>«Газопровод-Козино»-Стрельня-Колентеево</t>
  </si>
  <si>
    <t>2240248</t>
  </si>
  <si>
    <t>Автомобильная дорога по ул. Полевая в с. Бабынино</t>
  </si>
  <si>
    <t>2245074</t>
  </si>
  <si>
    <t>Автомобильная дорога по ул. Моторная в пос. Бабынино</t>
  </si>
  <si>
    <t>2242362</t>
  </si>
  <si>
    <t>Автомобильная дорога по ул.Молодежная в пос. Бабынино</t>
  </si>
  <si>
    <t>Автомобильная дорога по пер. Северный в пос. Бабынино</t>
  </si>
  <si>
    <t>Автодорога по с. Сабуровщино</t>
  </si>
  <si>
    <t>Автодорога с. Куракино</t>
  </si>
  <si>
    <t>Дзержинский район</t>
  </si>
  <si>
    <t>"Калуга-Медынь"-п. Пятовский</t>
  </si>
  <si>
    <t>разъезд  73 -"Полотняный Завод-Товарково"</t>
  </si>
  <si>
    <t>2246040</t>
  </si>
  <si>
    <t>Автомобильная дорога по ул.Новая в с."Совхоз Чкаловский"</t>
  </si>
  <si>
    <t>Автомобильная дорога по  ул.Интернациональная  в г.Кондрово</t>
  </si>
  <si>
    <t>Автомобильная дорога по ул.Комсомольская  в г.Кондрово</t>
  </si>
  <si>
    <t>Автомобильная дорога по пр. Труда  в г.Кондрово</t>
  </si>
  <si>
    <t>Автомобильная дорога по ул.Норильская  в г.Кондрово</t>
  </si>
  <si>
    <t>Автомобильная дорога по  ул.Тургенева  в г.Кондрово</t>
  </si>
  <si>
    <t>Автомобильная дорога по  ул.Комарова  в г.Кондрово</t>
  </si>
  <si>
    <t>Автомобильная дорога по  ул.Ломоносова  в г.Кондрово</t>
  </si>
  <si>
    <t>Автомобильная дорога по ул.Лесная  в г.Кондрово</t>
  </si>
  <si>
    <t>Автомобильная дорога по ул.Садовая  в г.Кондрово</t>
  </si>
  <si>
    <t>Автомобильная дорога по ул.Энгельса  в г.Кондрово</t>
  </si>
  <si>
    <t>Автомобильная дорога по ул.Пролетарская  в г.Кондрово</t>
  </si>
  <si>
    <t>Автомобильная дорога по ул.Мичурина  в г.Кондрово</t>
  </si>
  <si>
    <t>Автомобильная дорога пер.Кр.Октябрь в г.Кондрово</t>
  </si>
  <si>
    <t>Автомобильная дорога пер.Южный в г.Кондрово</t>
  </si>
  <si>
    <t>Автомобильная дорога пер.Ярославского в г.Кондрово</t>
  </si>
  <si>
    <t>Автомобильная дорога пер.Фабричный в г.Кондрово</t>
  </si>
  <si>
    <t>Автомобильная дорога пер.Крупской в г.Кондрово</t>
  </si>
  <si>
    <t>Автомобильная дорога пер.Ломоносова в г.Кондрово</t>
  </si>
  <si>
    <t>Автомобильная дорога ул.Просвещения в г.Кондрово</t>
  </si>
  <si>
    <t>Автомобильная дорога пр-т Свободы в г.Кондрово</t>
  </si>
  <si>
    <t>Автомобильная дорога по ул.Степана Разина в г.Кондрово</t>
  </si>
  <si>
    <t>КРОМЕ ТОГО:</t>
  </si>
  <si>
    <t>Мероприятия направленные на обеспечение сохранности автомобильных дорог</t>
  </si>
  <si>
    <t xml:space="preserve"> Автомобильные дороги местного значения (улицы)</t>
  </si>
  <si>
    <t>Устройство искусственных неровностей</t>
  </si>
  <si>
    <t>Модернизация светофорных объектов</t>
  </si>
  <si>
    <t>Улично-дорожная сеть муниципального образования «Город Калуга»</t>
  </si>
  <si>
    <t>пог. м</t>
  </si>
  <si>
    <t>Восстановление поперечного профиля и ровности проезжей части гравийных покрытий с добавлением гравия с расходом до 300 м на 1 километр</t>
  </si>
  <si>
    <t>Ликвидация колей глубиной до 50 мм; фрезерование или срезка гребней выпора и неровностей по колеям (полосам наката) с заполнением колей черным щебнем или асфальтобетоном и устройством защитного слоя на всю ширину покрытия</t>
  </si>
  <si>
    <t>Восстановление поперечного профиля и ровности проезжей части автомобильных дорог с щебеночным покрытием с добавлением щебня с расходом до 300 м на 1 километр</t>
  </si>
  <si>
    <t>Восстановление поперечного профиля и ровности проезжей части автомобильных дорог с щебеночным, гравийным или грунтовым покрытием без добавления новых материалов</t>
  </si>
  <si>
    <t>Профилировка проезжей части</t>
  </si>
  <si>
    <t>Устройство защитных слоев, слоев износа и поверхностной обработки дорожного покрытия</t>
  </si>
  <si>
    <t>Восстановление изношенных верхних слоев асфальтобетонных покрытий</t>
  </si>
  <si>
    <t>Восстановление дорожной одежды на участках с пучинистыми и слабыми грунтами на площади до 100 м2</t>
  </si>
  <si>
    <t>Заливка трещин на асфальтобетонных покрытиях</t>
  </si>
  <si>
    <t xml:space="preserve">Устранение деформаций и повреждений (заделка выбоин, просадок, шелушения, выкрашивания и других дефектов) покрытий, исправление кромок покрытий </t>
  </si>
  <si>
    <t>м</t>
  </si>
  <si>
    <t>уз.Газовая</t>
  </si>
  <si>
    <t xml:space="preserve">ул.Тарутинская </t>
  </si>
  <si>
    <t xml:space="preserve">ул.Ленина </t>
  </si>
  <si>
    <t xml:space="preserve">ул.М.Жукова </t>
  </si>
  <si>
    <t>ул.Рылеева</t>
  </si>
  <si>
    <t>модернизация светофорных объектов</t>
  </si>
  <si>
    <t>Установка пешеходных ограждений</t>
  </si>
  <si>
    <t>объекта</t>
  </si>
  <si>
    <t>Установк пешеходных ограждений в районе СОШ № 12</t>
  </si>
  <si>
    <t>Автомобильная дорога по ул. Пирогова</t>
  </si>
  <si>
    <t>Мероприятия направленные на ликвидацию мест концентрации дорожно-транспортных проишествий</t>
  </si>
  <si>
    <t>Улично-дорожная сеть муниципальных образований</t>
  </si>
  <si>
    <t>п.м</t>
  </si>
  <si>
    <t xml:space="preserve">Установка дорожных знаков </t>
  </si>
  <si>
    <t>Нанесение разметки</t>
  </si>
  <si>
    <t>Автомобильная дорога по ул.Кирова</t>
  </si>
  <si>
    <t xml:space="preserve">Устройство светофорного объекта </t>
  </si>
  <si>
    <t>Нанесение  разметки</t>
  </si>
  <si>
    <r>
      <t>пер.Литейный</t>
    </r>
    <r>
      <rPr>
        <sz val="12"/>
        <rFont val="Times New Roman"/>
        <family val="1"/>
        <charset val="204"/>
      </rPr>
      <t xml:space="preserve"> </t>
    </r>
  </si>
  <si>
    <t>г. Обнинск</t>
  </si>
  <si>
    <t>г. Калуга</t>
  </si>
  <si>
    <t>Перемышльский район</t>
  </si>
  <si>
    <t>Установка пешеходных ограждений в районе пешеходных переходов к СОШ № 11. Установка светофорного объекта Т7 в районе пешеходного перехода</t>
  </si>
  <si>
    <t>пр. Маркса, д.16</t>
  </si>
  <si>
    <t xml:space="preserve">Установка пешеходных ограждений в районе пешеходного перехода </t>
  </si>
  <si>
    <t>шт.               (проект)</t>
  </si>
  <si>
    <t xml:space="preserve">Устройство светофорных объектов </t>
  </si>
  <si>
    <t>Разработка проектов организации дорожного движения</t>
  </si>
  <si>
    <t>Содержание и ремонт светофорных объектов</t>
  </si>
  <si>
    <t>Устройство светофорных объектов</t>
  </si>
  <si>
    <t>А-130  Москва - Малоярославец - Рославль - граница с Республикой Белоруссия, соединительная дорога у г. Малоярославца                                   км 0+000 - км 7+550</t>
  </si>
  <si>
    <t>капитальный ремонт ИССО</t>
  </si>
  <si>
    <t>ремонт ИССО</t>
  </si>
  <si>
    <t>строительство ИССО</t>
  </si>
  <si>
    <t>реконструкция ИССО</t>
  </si>
  <si>
    <t>установка тросового/ барьерного ограждения</t>
  </si>
  <si>
    <t xml:space="preserve">устройство освещения </t>
  </si>
  <si>
    <t>установка водоотводных полос</t>
  </si>
  <si>
    <t>пог.м.</t>
  </si>
  <si>
    <t>км, кв.м., пог.м, шт.</t>
  </si>
  <si>
    <t>иные виды работ (работы, направленные на ликвидацию мест дорожно-транспортных происшествий)</t>
  </si>
  <si>
    <t xml:space="preserve">                                                                                                                                                         Объекты, финансируемые за счет бюджетных средств субъекта Российской Федерации (в т.ч. иные межбюджетные трансферты из федерального бюджета)</t>
  </si>
  <si>
    <t xml:space="preserve">                                                                                                                                                         Объекты, финансируемые из прочих источников</t>
  </si>
  <si>
    <t xml:space="preserve">                                                                                                                                                                                                             Автомобильные дороги местного значения (улицы) (финансируемые из внебюджетных источников)</t>
  </si>
  <si>
    <t>Резервные объекты, реализация мероприятий на которых возможна при условии увеличения финансирования, либо за счет экономии, возникшей в результате снижения начальной (максимальной) цены контрактов при проведении конкурсных процедур</t>
  </si>
  <si>
    <t xml:space="preserve">нанесение разметки </t>
  </si>
  <si>
    <t>устройство светофорных объектов (в том числе в рамках реконструкции автодороги)</t>
  </si>
  <si>
    <t>установка дорожных знаков (в том числе в рамках реконструкции автодороги)</t>
  </si>
  <si>
    <t>Автодорога Пионерский проезд</t>
  </si>
  <si>
    <t>Автодорога по ул. Любого</t>
  </si>
  <si>
    <t>3+000</t>
  </si>
  <si>
    <t>6+000</t>
  </si>
  <si>
    <t>Малоярославецкий район</t>
  </si>
  <si>
    <t>Ферзиковский район</t>
  </si>
  <si>
    <t xml:space="preserve">Устройство пешеходныхх ограждений </t>
  </si>
  <si>
    <t>автомобильная дорога от ул. Хрустальная до ул. Киевка (Киевский проезд)</t>
  </si>
  <si>
    <t>Модернизация светофорного объекта</t>
  </si>
  <si>
    <t>Автомобильная дорога по ул.Заводская</t>
  </si>
  <si>
    <t>Автомобильная дорога по ул. Телевизионная</t>
  </si>
  <si>
    <t>Мероприятия, направленные на ликвидацию места концентрации ДТП выполнены в рамках ремонта автомобильной дороги в 2019 году</t>
  </si>
  <si>
    <t xml:space="preserve">Мероприятия по модернизации дорожной инфраструктуры в городских агломерациях, направленные на устранение аварийного и предаварийного состояния икусственных сооружений, входящих в состав указанной инфраструктуры </t>
  </si>
  <si>
    <t>реконструкция ИССО (Реконструкция моста через р.Яченка в районе д. Белая" (2 этап))</t>
  </si>
  <si>
    <t>Мероприятия по модернизации дорожной инфраструктуры в городских агломерациях</t>
  </si>
  <si>
    <t xml:space="preserve">Мероприятия по модернизации дорожной инфраструктуры в городских агломерациях, осуществляемые в том числе во исполнение указаний, поручений или актов Президента Российской Федерации и (или) Правительства Российской Федерации </t>
  </si>
  <si>
    <t>Строительство</t>
  </si>
  <si>
    <t>Автомобильная дорога от ул Гурьянова до д. Анненки</t>
  </si>
  <si>
    <t>1+875</t>
  </si>
  <si>
    <t>1+335</t>
  </si>
  <si>
    <t>ВСЕГО</t>
  </si>
  <si>
    <t>в том числе:</t>
  </si>
  <si>
    <t>иные источники финансирования</t>
  </si>
  <si>
    <t>средства в рамках реализации регионального проекта</t>
  </si>
  <si>
    <t>1+663</t>
  </si>
  <si>
    <t>0+767</t>
  </si>
  <si>
    <t>Автомобильная дорога от строящейся транспортной развязки на ПК106 объекта: «Строительство объезда г.Калуги на участке Секиотово-Анненки с мостом через р. Оку» до ул. Серафима Туликова</t>
  </si>
  <si>
    <t>средства в рамках реализации регионального проекта на модернизацию дорожной инфраструктуры в городских агломерациях</t>
  </si>
  <si>
    <t>1+070</t>
  </si>
  <si>
    <t>1+436</t>
  </si>
  <si>
    <t>1+322</t>
  </si>
  <si>
    <t>2+680</t>
  </si>
  <si>
    <t>дом № 17</t>
  </si>
  <si>
    <t>дом № 21</t>
  </si>
  <si>
    <t xml:space="preserve"> дом № 27</t>
  </si>
  <si>
    <t>дом № 27</t>
  </si>
  <si>
    <t>дом № 12</t>
  </si>
  <si>
    <t>дом № 10</t>
  </si>
  <si>
    <t xml:space="preserve"> дом № 18</t>
  </si>
  <si>
    <t xml:space="preserve"> дом № 24</t>
  </si>
  <si>
    <t>дом № 201</t>
  </si>
  <si>
    <t>дом № 134</t>
  </si>
  <si>
    <t>дом № 18</t>
  </si>
  <si>
    <t>дом № 2</t>
  </si>
  <si>
    <t>дом № 1</t>
  </si>
  <si>
    <t>дом № 9</t>
  </si>
  <si>
    <t>дом № 7</t>
  </si>
  <si>
    <t>дом № 40</t>
  </si>
  <si>
    <t>дом № 63</t>
  </si>
  <si>
    <t>дом № 6</t>
  </si>
  <si>
    <t>дом № 130</t>
  </si>
  <si>
    <t>дом № 108</t>
  </si>
  <si>
    <t>дом № 3</t>
  </si>
  <si>
    <t>дом № 1 кор.1</t>
  </si>
  <si>
    <t>дом № 125</t>
  </si>
  <si>
    <t>дом № 189</t>
  </si>
  <si>
    <t xml:space="preserve">дом № 155 </t>
  </si>
  <si>
    <t xml:space="preserve">дом № 3 </t>
  </si>
  <si>
    <t>дом № 52</t>
  </si>
  <si>
    <t>дом № 43/23</t>
  </si>
  <si>
    <t>дом № 72</t>
  </si>
  <si>
    <t>0+628</t>
  </si>
  <si>
    <t xml:space="preserve"> дом № 51</t>
  </si>
  <si>
    <t xml:space="preserve"> дом № 94</t>
  </si>
  <si>
    <t xml:space="preserve"> дом №  94</t>
  </si>
  <si>
    <t>дом № 80</t>
  </si>
  <si>
    <t xml:space="preserve"> дом № 12</t>
  </si>
  <si>
    <t>дом № 24</t>
  </si>
  <si>
    <t>дои № 17</t>
  </si>
  <si>
    <t>доим № 8</t>
  </si>
  <si>
    <t>дом № 5, № 7</t>
  </si>
  <si>
    <r>
      <t>Автомобильная дорога по ул.Грабцевское шоссе</t>
    </r>
    <r>
      <rPr>
        <sz val="16"/>
        <rFont val="Times New Roman"/>
        <family val="1"/>
        <charset val="204"/>
      </rPr>
      <t>*</t>
    </r>
  </si>
  <si>
    <t>Ремонт покрытия проезжей части**</t>
  </si>
  <si>
    <t>* объект реализуется в целях снижения мест концентрации дорожно-транспортных происшествий</t>
  </si>
  <si>
    <t xml:space="preserve"> дом № 2/61</t>
  </si>
  <si>
    <t xml:space="preserve"> дом № 141</t>
  </si>
  <si>
    <t xml:space="preserve">дом № 1 </t>
  </si>
  <si>
    <t xml:space="preserve">дом № 2 </t>
  </si>
  <si>
    <t>0+689</t>
  </si>
  <si>
    <t>Начало участка на пересечении ул. Луначарского и ул. Тульской</t>
  </si>
  <si>
    <t>Начало участка на пересечении ул. Луначарского и ул. Никитина</t>
  </si>
  <si>
    <t xml:space="preserve">Начало участка дом № 7 пер. Труда, дом № 21, пер. Колхозный, дом № 3 пер. 2 Брусничный. Конец участка дом № 14 пер.Труда </t>
  </si>
  <si>
    <t>Начало участка на пересечении ул. Пушкина и ул. Плеханова</t>
  </si>
  <si>
    <t>дом № 78</t>
  </si>
  <si>
    <t>Начало участка на пересечении ул. Рылева и ул. Суворова</t>
  </si>
  <si>
    <t>0+284</t>
  </si>
  <si>
    <t>Начало участка дом № 5 пл.Старый Торг Конец участка дом № 1 ул. Баженова</t>
  </si>
  <si>
    <t>Начало участка - автомобильная дорога Р-132 «Калуга-Тула-Михайлов-Рязань» — обход города Калуги от М-3 «Украина». Конец участка дом № 101 ул. Молодежная</t>
  </si>
  <si>
    <t>1+382</t>
  </si>
  <si>
    <t>Конец участка пересечение ул. Московская и ул. Пухова</t>
  </si>
  <si>
    <t>дом № 57</t>
  </si>
  <si>
    <t>Начало участка дом № 3а по ул. Пронцищева Конец участка дом № 26                     ул. Литвиновская</t>
  </si>
  <si>
    <t>2+100</t>
  </si>
  <si>
    <t>0+669</t>
  </si>
  <si>
    <t>Начало участка дом № 2 ул.Сельская Конец участка дом № 168 ул.Тарутинская</t>
  </si>
  <si>
    <t>Начало участка дом № 93а ул.Сельская Конец участка дом № 54  ул. Ольговка</t>
  </si>
  <si>
    <t>1+156</t>
  </si>
  <si>
    <t>Начало участка дом № 12 пер. Ольговский Конец участка дом № 196/1 ул.Тарутинская</t>
  </si>
  <si>
    <t>0+457</t>
  </si>
  <si>
    <t>Начало участка дом № 1 ул. Зеленая Конец участка дом № 14  пер. Малинники</t>
  </si>
  <si>
    <t>0+763</t>
  </si>
  <si>
    <t xml:space="preserve">Начало участка дом № 17 ул.Ждамировская </t>
  </si>
  <si>
    <t>Начало участка дом № 18 ул. Пушкина Конец участка дом № 65 ул.Академика Королева</t>
  </si>
  <si>
    <t>0+350</t>
  </si>
  <si>
    <t xml:space="preserve">Начало участка дом № 24 ул.Кирова  Конец участка дом № 5 пл.Старый Торг </t>
  </si>
  <si>
    <t>0+753</t>
  </si>
  <si>
    <t>Начало участка примыкание к автомобильной дороге "Обход г. Калуги на участке Секиотово-Анненки с мостом через реку Оку"  Конец участка владение (участок) 440</t>
  </si>
  <si>
    <t>4+330</t>
  </si>
  <si>
    <t xml:space="preserve">Начало участка дом № 28а ул.Тарутинская Конец участка Ястребовская развязка </t>
  </si>
  <si>
    <t>4+722</t>
  </si>
  <si>
    <t>Начало участка дом № 62 ул.Ленина Конец участка дом № 1 ул.Плеханова</t>
  </si>
  <si>
    <t>0+950</t>
  </si>
  <si>
    <t>2+045</t>
  </si>
  <si>
    <t>Начало участка дом № 47 ул.Грабцевское шоссе Конец участка дом № 2 ул.Малинники</t>
  </si>
  <si>
    <t>0+095</t>
  </si>
  <si>
    <t>1+903</t>
  </si>
  <si>
    <t>Начало участка дом № 118Г ул.Советская Конец участка дом № 6В ул.Дорожная</t>
  </si>
  <si>
    <t>0+986</t>
  </si>
  <si>
    <t>Начало участка дом № 291 корп. 3 ул. Московская Конец участка дом № 2 ул. К. Ополчения</t>
  </si>
  <si>
    <t>6+305</t>
  </si>
  <si>
    <t>10+875</t>
  </si>
  <si>
    <t>Начало участка дом дом № 69 Конец участка примыкание к автомобильной дороге "Обход г. Калуги на участке Секиотово-Аненнки с мостом через реку Оку"</t>
  </si>
  <si>
    <t>1+360</t>
  </si>
  <si>
    <t>1+908</t>
  </si>
  <si>
    <t>4+591</t>
  </si>
  <si>
    <t>Начало участка ул.Салтыкова-Щедрина дом № 2/61Конец участка  ул.Ленина дом №.81</t>
  </si>
  <si>
    <t>Начало участка ул.Чижевского дом № 25 Конец участка   дом № 110/47 ул. Максима Горького</t>
  </si>
  <si>
    <t>Начало участка дом № 7/20 ул. Фридриха Энгельса Конец участка ул.Степана Разина дом № 97 корп.2</t>
  </si>
  <si>
    <t>Начало участка дом № 2А ул.Болдина Конец участка ул.Салтыкова-Щедрина дом № 141</t>
  </si>
  <si>
    <t>7+421</t>
  </si>
  <si>
    <t>Начало участка ПК106 объекта: «Строительство объезда г.Калуги на участке Секиотово-Анненки с мостом через р. Оку» Конец участка ул. Серафима Туликова</t>
  </si>
  <si>
    <t>2+924</t>
  </si>
  <si>
    <t>Конец участка АЗС "ТНК"</t>
  </si>
  <si>
    <t>Конец участка дом № 19 ул. Звездная</t>
  </si>
  <si>
    <t xml:space="preserve">дом № 19 </t>
  </si>
  <si>
    <t>Начало участка дом № 46 пр.Маркса Конец участка дом № 30 ул.Курчатова</t>
  </si>
  <si>
    <t>1+694</t>
  </si>
  <si>
    <t>Начало участка дом № 49 пр.Маркса Конец участка дом № 46 ул.Гагарина</t>
  </si>
  <si>
    <t>Начало участка  дом № 47 пр. Маркса Конец участка  дом № 57 пр. Маркса</t>
  </si>
  <si>
    <t>1+051</t>
  </si>
  <si>
    <t>Начало участка дом № 46/1 пр.Ленина  Конец участка дом № 19Б ул.Курчатова</t>
  </si>
  <si>
    <t>1+510</t>
  </si>
  <si>
    <t>Начало участка дом № 93 пр. Ленинаа  Конец участка дом № 5 ул.Кутузова</t>
  </si>
  <si>
    <t>2+447</t>
  </si>
  <si>
    <t>Начало участка дом № 2 ул. Калужская Конец участка дом № 126 пр. Маркса</t>
  </si>
  <si>
    <t>0+730</t>
  </si>
  <si>
    <t>Начало участка дом № 5 ул. Кутузова Конец участка дом № 11 ул. Лесной переулок</t>
  </si>
  <si>
    <t>0+205</t>
  </si>
  <si>
    <t>Начало участка дом № 84 пр.Ленина Конец участка дом № 20 ул. Курчатова</t>
  </si>
  <si>
    <t>1+082</t>
  </si>
  <si>
    <t>Начало участка дом № 226 пр. Ленина Конец участка дом № 57 ул. Гагарина</t>
  </si>
  <si>
    <t>0+630</t>
  </si>
  <si>
    <t>Начало участка дом № 10 ул. Любого Конец участка дом № 46 ул. Пионерский проезд</t>
  </si>
  <si>
    <t>0+430</t>
  </si>
  <si>
    <t xml:space="preserve">дом № 13 </t>
  </si>
  <si>
    <t xml:space="preserve">дом № 20 </t>
  </si>
  <si>
    <t xml:space="preserve">дом № 58 </t>
  </si>
  <si>
    <t xml:space="preserve">дом № 46 </t>
  </si>
  <si>
    <t xml:space="preserve">дом № 56 </t>
  </si>
  <si>
    <t xml:space="preserve">дом № 67 </t>
  </si>
  <si>
    <t xml:space="preserve">дом № 6 </t>
  </si>
  <si>
    <t xml:space="preserve">дом № 22  </t>
  </si>
  <si>
    <t xml:space="preserve">дом № 22 </t>
  </si>
  <si>
    <t xml:space="preserve"> дом № 62 </t>
  </si>
  <si>
    <t xml:space="preserve"> дом № 60 </t>
  </si>
  <si>
    <t xml:space="preserve"> дом № 261                         </t>
  </si>
  <si>
    <t xml:space="preserve"> дом № 289а    </t>
  </si>
  <si>
    <t xml:space="preserve"> дом № 291    </t>
  </si>
  <si>
    <t xml:space="preserve"> дом № 53               </t>
  </si>
  <si>
    <t xml:space="preserve">дом № 54                 </t>
  </si>
  <si>
    <t xml:space="preserve">дом № 15 </t>
  </si>
  <si>
    <t xml:space="preserve">дом № 6А </t>
  </si>
  <si>
    <t xml:space="preserve">дом № 23               </t>
  </si>
  <si>
    <t xml:space="preserve">дом № 9                  </t>
  </si>
  <si>
    <t xml:space="preserve">дом № 11 </t>
  </si>
  <si>
    <t xml:space="preserve">дом № 3                   </t>
  </si>
  <si>
    <t xml:space="preserve">дом № 3                          </t>
  </si>
  <si>
    <t xml:space="preserve"> дом № 261                                   </t>
  </si>
  <si>
    <t>Начало участка объездная федеральная трасса Конец участка ул.Ромодановские дворики</t>
  </si>
  <si>
    <t>Начало участка ул.Максима Горького Конец участка д.3 по ул.Пролетарская</t>
  </si>
  <si>
    <t>Начало участка ул.Спичечная Конец участка железная дорога</t>
  </si>
  <si>
    <t>Начало участка ул.Суворова Конец участка гаражный кооператив</t>
  </si>
  <si>
    <t>0+188</t>
  </si>
  <si>
    <t>Начало участка ул.Отбойная Конец участка ул.Врубовая</t>
  </si>
  <si>
    <t>0+322</t>
  </si>
  <si>
    <t>Начало участка д.Карачево Конец участка Муратовский Щебзавод</t>
  </si>
  <si>
    <t>2+950</t>
  </si>
  <si>
    <t>Начало участка пер.Колхозный Конец участка д. 19 по проезду Колхозному</t>
  </si>
  <si>
    <t>0+261</t>
  </si>
  <si>
    <t>Начало участка пер.Труда Конец участка д.30 по ул.Кирпичная</t>
  </si>
  <si>
    <t>0+502</t>
  </si>
  <si>
    <t>Начало участка пер.Колхозный Конец участка тупик на склоне Яченской набережной</t>
  </si>
  <si>
    <t>0+318</t>
  </si>
  <si>
    <t>Начало участка пер.Колхозный Конец участка ул.Кирпичная</t>
  </si>
  <si>
    <t>0+376</t>
  </si>
  <si>
    <t>Начало участка ул.Труда Конец участка ул.Кирова</t>
  </si>
  <si>
    <t>0+863</t>
  </si>
  <si>
    <t>Начало участкаул.Хрустальная Конец участка ул.Маяковского</t>
  </si>
  <si>
    <t>0+535</t>
  </si>
  <si>
    <t>Начало участка Пер. Вагонный Конец участка Ул.Северная</t>
  </si>
  <si>
    <t>0+640</t>
  </si>
  <si>
    <t>Начало участка ул.Тарутинская Конец участка ул.Тракторная</t>
  </si>
  <si>
    <t>0+686</t>
  </si>
  <si>
    <t>Начало участка ул.Врубовая Конец участка ул.Отбойная</t>
  </si>
  <si>
    <t>Начало участка ул.Механизаторов Конец участка ул.Забойная</t>
  </si>
  <si>
    <t>Начало участка ул.Генерала Попова Конец участка ул.Комфортная</t>
  </si>
  <si>
    <t>0+562</t>
  </si>
  <si>
    <t>Начало участка ул.Максима Горького Конец участка ул.Московская</t>
  </si>
  <si>
    <t>0+915</t>
  </si>
  <si>
    <t>Начало участка пл.Маяковского Конец участка окончание жилой застройки</t>
  </si>
  <si>
    <t>0+980</t>
  </si>
  <si>
    <t>Начало участка ул.Азаровская Конец участка Степной проезд</t>
  </si>
  <si>
    <t>0+903</t>
  </si>
  <si>
    <t>Начало участка ул.Постовалова Конец участка ул.Некрасова</t>
  </si>
  <si>
    <t>Начало участка ул.Путейская Конец участка пер.Линейный</t>
  </si>
  <si>
    <t>0+211</t>
  </si>
  <si>
    <t>Начало участка ул.Московская Конец участка ул.Тельмана</t>
  </si>
  <si>
    <t>0+302</t>
  </si>
  <si>
    <t>Начало участка пер.Новый Конец участка ул.Николо-Козинская</t>
  </si>
  <si>
    <t>0+221</t>
  </si>
  <si>
    <t>0+341</t>
  </si>
  <si>
    <t>Начало участка ул.Московская Конец участка ул.Галкинская</t>
  </si>
  <si>
    <t>1+505</t>
  </si>
  <si>
    <t>Начало участка ул. Светлая Конец участка поворот на Муратовский щебзавод</t>
  </si>
  <si>
    <t>Начало участка ул.Дарвина Конец участка ул.Достоевского</t>
  </si>
  <si>
    <t>Начало участка ул.Театральная Конец участка ул.Достоевского</t>
  </si>
  <si>
    <t>0+185</t>
  </si>
  <si>
    <t xml:space="preserve">Начало участка Въезд в д.Пучково Конец участка ул.Совхозная д.Тинино, д. № 85 </t>
  </si>
  <si>
    <t>2+792</t>
  </si>
  <si>
    <t>Начало участка ул.Болдина Конец участка Восточный проезд</t>
  </si>
  <si>
    <t>0+580</t>
  </si>
  <si>
    <t>0+655</t>
  </si>
  <si>
    <t>0+739</t>
  </si>
  <si>
    <t>Начало участка ул.Больничная Конец участка ул.Максима Горького</t>
  </si>
  <si>
    <t>0+308</t>
  </si>
  <si>
    <t>Начало участка ул.Советская Конец участка д.17 по ул.Турынинская</t>
  </si>
  <si>
    <t>Начало участкаул.Карла Либкнехта Конец участка ул.Складская, д. 4</t>
  </si>
  <si>
    <t>0+706</t>
  </si>
  <si>
    <t>Начало участка проезд на ул.Воинская Конец участка территория опытно-экспериментального завода</t>
  </si>
  <si>
    <t>0+428</t>
  </si>
  <si>
    <t xml:space="preserve">Проезд к ул.Тепличная от ул.Дорожная </t>
  </si>
  <si>
    <t>1+362</t>
  </si>
  <si>
    <t>Начало участка ул.Вагонная Конец участка Степной проезд</t>
  </si>
  <si>
    <t>0+259</t>
  </si>
  <si>
    <t>Начало участка ул.Болдина Конец участка ул.Спортивная, д 6</t>
  </si>
  <si>
    <t>0+390</t>
  </si>
  <si>
    <t>Начало участка ул.Байконурская Конец участка ул.Московская</t>
  </si>
  <si>
    <t>0+618</t>
  </si>
  <si>
    <t>Начало участка ул.Тарутинская Конец участка ул.Механизаторов</t>
  </si>
  <si>
    <t>0+408</t>
  </si>
  <si>
    <t>0+323</t>
  </si>
  <si>
    <t>0+343</t>
  </si>
  <si>
    <t>Начало участка пер.Луговой Конец участка ул.Тарутинская</t>
  </si>
  <si>
    <t>0+257</t>
  </si>
  <si>
    <t>Начало участка ул.Путейская Конец участка ул.Поселковая</t>
  </si>
  <si>
    <t>0+210</t>
  </si>
  <si>
    <t>Начало участка ул.Телевизионная Конец участка ул.Широкая</t>
  </si>
  <si>
    <t>0+372</t>
  </si>
  <si>
    <t>Начало участка ул.Социалистическая Конец участка ул.Лаврентьевская</t>
  </si>
  <si>
    <t>0+695</t>
  </si>
  <si>
    <t>Начало участка ул.Билибина Конец участка д.4 по пер.Чичерина</t>
  </si>
  <si>
    <t>Начало участка ул.Набережная Конец участка Монастырский пер.</t>
  </si>
  <si>
    <t>0+521</t>
  </si>
  <si>
    <t>0+754</t>
  </si>
  <si>
    <t>Начало участка ул.Зерновая Конец участка д. 19 ул.Кирпичный завод МПС</t>
  </si>
  <si>
    <t>Начало участка ул.Гагарина Конец участка Тульское шоссе</t>
  </si>
  <si>
    <t>3+298</t>
  </si>
  <si>
    <t>Начало участка Синие мосты Конец участка ул.Железняки</t>
  </si>
  <si>
    <t>Начало участкаул.Ленина Конец участка ул.Телевизионная</t>
  </si>
  <si>
    <t>Начало участка уТелевизионная площадь Конец участка ул.Семеново Городище</t>
  </si>
  <si>
    <t>1+044</t>
  </si>
  <si>
    <t>Начало участка а/д «Р-132» Конец участка ул.Петра Семенова</t>
  </si>
  <si>
    <t>0+870</t>
  </si>
  <si>
    <t>Начало участка ул.Чайковского  Конец участка ул.Циолковского</t>
  </si>
  <si>
    <t>дом № 33</t>
  </si>
  <si>
    <t>дом № 34</t>
  </si>
  <si>
    <t>Начало участка ул.Северная Конец участка ЗАО Крафтвей</t>
  </si>
  <si>
    <t>дом № 101</t>
  </si>
  <si>
    <t>дом № 88</t>
  </si>
  <si>
    <t>Начало участка пр. Ленина Конец участка ул. Шацкого, д. 14</t>
  </si>
  <si>
    <t>дом № 20</t>
  </si>
  <si>
    <t>дом № 1А</t>
  </si>
  <si>
    <t>Начало участка ул. Чайковского Конец участка ул. Циалковского</t>
  </si>
  <si>
    <t>дом № 29</t>
  </si>
  <si>
    <t xml:space="preserve">дом № 37 </t>
  </si>
  <si>
    <t>Начало участка выезд на ул. Красных Зорь Конец участка ул. Красных Зорь (от дома № 1 по кругу до дома № 1)</t>
  </si>
  <si>
    <t>Начало участка ул. Аксенова Конец участка пр. Маркса</t>
  </si>
  <si>
    <t>дом № 36</t>
  </si>
  <si>
    <t>Начало участка ул. Мира  Конец участка ул. Гурьянова, д. 7</t>
  </si>
  <si>
    <t>дом № 2 А</t>
  </si>
  <si>
    <t>дом № 9А</t>
  </si>
  <si>
    <t>Начало участка ул.Комсомольская   Конец участка ул.Менделеева</t>
  </si>
  <si>
    <t>дом № 45</t>
  </si>
  <si>
    <t>Начало участка пр. Ленина Конец участка ул. Жукова</t>
  </si>
  <si>
    <t>дом № 23</t>
  </si>
  <si>
    <t>Начало участка Автодорога «Калуга-Перемышль-Белев-Орел» (поворот на д.Колюпаново)  Конец участка Подъезд к дачным участкам</t>
  </si>
  <si>
    <t>3+010</t>
  </si>
  <si>
    <t>Начало участка за 142 м от ул.Шахтерская Конец участка проезд к частным домам</t>
  </si>
  <si>
    <t>Начало участка подъезд к д.Черносвитино Конец участка забор жилой постройки</t>
  </si>
  <si>
    <t>Конец участка дом № 3 пл. Вокзальная (участки                                                          дом № 125-дом № 62, дом № 38- дом № 1)</t>
  </si>
  <si>
    <t>Начало участка дом № 2 ул.Чапаева Конец участка дом № 48 ул.Курсантов  (участки                                                          дом № 3-дом № 15, км 0+000 по км 7+421)</t>
  </si>
  <si>
    <t xml:space="preserve"> дом № 46</t>
  </si>
  <si>
    <t xml:space="preserve"> дом № 58</t>
  </si>
  <si>
    <t>Т7 в районе пешеходного перехода</t>
  </si>
  <si>
    <t>Иные виды работ (работы, направленные на ликвидацию мест дорожно-транспортных происшествий)</t>
  </si>
  <si>
    <t>Пересечение ул.Рылеева с ул.Достоевского Устройство искусственных неровностей</t>
  </si>
  <si>
    <t xml:space="preserve">Пересечение ул.Победы - ул.Жукова Установка пешеходных ограждений в районе пешеходного перехода </t>
  </si>
  <si>
    <t xml:space="preserve">Пересечение автодорог по пр. Ленина- ул.Комарова - ул. Цветкова Модернизация светофорного объекта </t>
  </si>
  <si>
    <t xml:space="preserve"> Пересечение ул. Кирова с ул. Рылеева Установка пешеходных ограждений</t>
  </si>
  <si>
    <t>Пересечение ул. Рылеева с ул. Достоевского Установка искусственных неровнестей</t>
  </si>
  <si>
    <t>Пересечение ул. Тульская с ул. Ф.Энгельса Содержание и ремонт дорожных знаков</t>
  </si>
  <si>
    <t>Пересечение ул. Степана Разина с ул. Тульская 2019 год - разработка проектной документации по организации дорожного движения с  модернизацией светофорного объекта 2020 год - модернизация светофорного объекта</t>
  </si>
  <si>
    <t>Пересечение ул. Ленина с ул. Баррикад Модернизация светофорного объекта</t>
  </si>
  <si>
    <t>ул. Советская Модернизация светофорного объекта</t>
  </si>
  <si>
    <t>Пересечение                              ул. Телевизионная с ул. Билибина Разработка проектной документации на модернизацию светофорного объекта</t>
  </si>
  <si>
    <t xml:space="preserve">Пересечение                              ул. Гагарина с                            ул. Академика Королева Устройство пешеходных ограждений </t>
  </si>
  <si>
    <t xml:space="preserve">Пересечение                              ул. Заводская с                            ул. Маяковского Устройство пешеходных ограждений </t>
  </si>
  <si>
    <t>Пересечение                           ул. Маршала Жукова с ул. Хрустальная Разработка проектной документации на устройство светофорного объекта</t>
  </si>
  <si>
    <t xml:space="preserve">Пересечение ул. Московская с ул. Азаровская  Ремонт светофоров  </t>
  </si>
  <si>
    <t>Съезд с путепровода           Разработка проектной документации на модернизацию светофорного объекта</t>
  </si>
  <si>
    <t>доим № 3</t>
  </si>
  <si>
    <t>доим № 12</t>
  </si>
  <si>
    <t>доим № 80</t>
  </si>
  <si>
    <t>0+255</t>
  </si>
  <si>
    <t>км 1+382</t>
  </si>
  <si>
    <t>км 0+143</t>
  </si>
  <si>
    <t>0+387</t>
  </si>
  <si>
    <t>1+863</t>
  </si>
  <si>
    <t>2+516</t>
  </si>
  <si>
    <t>дом № 144</t>
  </si>
  <si>
    <t>дом № 162</t>
  </si>
  <si>
    <t>Начало участка пер.Старичков                 Конец участка ул.Кутузова</t>
  </si>
  <si>
    <t>Начало участка ул.Октябрьская                Конец участка ул.Циолковского</t>
  </si>
  <si>
    <t>Начало участка скв.Мира                 Конец участка ул.Суворова</t>
  </si>
  <si>
    <t>Начало участка автодорога Р-132 (обход г. Калуги)            Конец участка ул.Ромодановские дворики</t>
  </si>
  <si>
    <t>Начало участка ул.Московская д. 291, корп.3                                      Конец участка ул.Московская, д.309Б</t>
  </si>
  <si>
    <t>Начало участка ул.Вилонова, д.5                 Конец участка ул.Кутузова</t>
  </si>
  <si>
    <t>Начало участка ул. Воскресенская                 Конец участка пер. Воскресенский, д.28</t>
  </si>
  <si>
    <t>дом № 4</t>
  </si>
  <si>
    <t>**В период 2019-2022 годов выполнение работ по содержанию автомобильной дороги в рамках реализации государственного контракта на принципах контракта жизненного цикла</t>
  </si>
  <si>
    <t>Начало участка ул.Ленина дом № 90 Конец участка  дом № 291 к.1 ул. Московская.   По условиям муниципального контракта работы по объекту будут выполнены в 2020 году, оплата работ будет осуществлена в 2021 года.</t>
  </si>
  <si>
    <t>Начало участка ул.Киевка дом № 37 Конец участка граница Ферзиковского района (Военный мемориал "Братская могила" с. Ждамирово).   По условиям муниципального контракта работы по объекту будут выполнены в 2020 году, оплата работ будет осуществлена в 2021 года.</t>
  </si>
  <si>
    <t>По условиям муниципального контракта работы по объекту будут выполнены в 2020 году, оплата работ будет осуществлена в 2021 года.</t>
  </si>
  <si>
    <t>установка барьерного ограждения</t>
  </si>
  <si>
    <t>иные виды работ (работы, направленные на ликвидацию мест ДТП) (устройство трапецевидных пешеходных переходов)</t>
  </si>
  <si>
    <t>иные виды работ (работы, направленные на ликвидацию мест ДТП) (замена ИДН)</t>
  </si>
  <si>
    <t>Окружная г.Калуги – Детчино – Малоярославец» - Степичево</t>
  </si>
  <si>
    <t>0+315</t>
  </si>
  <si>
    <t>0+647</t>
  </si>
  <si>
    <t>0+192</t>
  </si>
  <si>
    <t>1+0395</t>
  </si>
  <si>
    <t>0+866</t>
  </si>
  <si>
    <t>0+179</t>
  </si>
  <si>
    <t>0+222</t>
  </si>
  <si>
    <t>3+245</t>
  </si>
  <si>
    <t>5+022</t>
  </si>
  <si>
    <t>дом № 79</t>
  </si>
  <si>
    <t>6+310</t>
  </si>
  <si>
    <t>дом № 48</t>
  </si>
  <si>
    <t>Начало участка дом № 4 ул. Королева Конец участка дом № 48 пр. Маркса</t>
  </si>
  <si>
    <t>дом № 46</t>
  </si>
  <si>
    <t>Начало участка дом № 46 ул. Гагарина Конец участка дом № 3 ул. Белкинская</t>
  </si>
  <si>
    <t>дом № 43</t>
  </si>
  <si>
    <t xml:space="preserve">Начало участка ул. Королева Конец участка ул. Энгельса </t>
  </si>
  <si>
    <t>дом № 19/9</t>
  </si>
  <si>
    <t>Начало участка ул. Пирогова, д. 23 Конец участка  пр. Ленина д. 19/9</t>
  </si>
  <si>
    <t xml:space="preserve">Начало участка ул. Королева, д.4 Конец участка ул. Энгельса, д. 9А </t>
  </si>
  <si>
    <t>1+500</t>
  </si>
  <si>
    <t xml:space="preserve">г. Калуга </t>
  </si>
  <si>
    <t>Автомобильная дорога по ул. Огарева</t>
  </si>
  <si>
    <t>Автомобильная дорога по ул. Декабристов</t>
  </si>
  <si>
    <t>3+923</t>
  </si>
  <si>
    <t xml:space="preserve">Автомобильная дорога по ул. Шацкого     </t>
  </si>
  <si>
    <t>Автомобильная дорога по ул. Кирова в г. Малоярославец</t>
  </si>
  <si>
    <t xml:space="preserve">Автомобильная дорога ул. Маклинская в г. Малоярославец </t>
  </si>
  <si>
    <t>Автомобильная дорога по ул. Гоголя в г. Малоярославец</t>
  </si>
  <si>
    <t>Автомобильная дорога ул. Футбольная г. Малоярославец</t>
  </si>
  <si>
    <t>2244859</t>
  </si>
  <si>
    <t>2242010</t>
  </si>
  <si>
    <t>2241462</t>
  </si>
  <si>
    <t>2239317</t>
  </si>
  <si>
    <t>3407144</t>
  </si>
  <si>
    <t>2+283</t>
  </si>
  <si>
    <t>6+620</t>
  </si>
  <si>
    <t xml:space="preserve">Автомобильная дорога 1Р-132 "Калуга-Тула-Михайлов-Рязань"в границах МО «Город Калуга» </t>
  </si>
  <si>
    <t>3407143</t>
  </si>
  <si>
    <t xml:space="preserve">Автомобильная дорога Р-92 «Калуга-Перемышль-Белев-Орел» </t>
  </si>
  <si>
    <t xml:space="preserve"> дом № 13</t>
  </si>
  <si>
    <t xml:space="preserve">М-3  "Украина" Москва - Калуга - Брянск - граница с Украиной, подъезд к г. Калуге </t>
  </si>
  <si>
    <t>ул. Заречная</t>
  </si>
  <si>
    <t xml:space="preserve">Начало участка ул. Гагарина, д.13 Конец участка а/д М-3  "Украина" Москва - Калуга - Брянск - граница с Украиной, подъезд к г. Калуге </t>
  </si>
  <si>
    <t>Начало участка ул. Гагарина, д.13 Конец участка ул. Заречная</t>
  </si>
  <si>
    <t>5+117</t>
  </si>
  <si>
    <t>8+414</t>
  </si>
  <si>
    <t>дом № 4/26</t>
  </si>
  <si>
    <t>дом № 60</t>
  </si>
  <si>
    <t>дом № 2/19</t>
  </si>
  <si>
    <t>Начало участка д. 60 ул. Московская Конец участка д. 2/19 ул. Огарева</t>
  </si>
  <si>
    <t>Начало участка д. 4/26 ул. М. Горького Конец участка д. 63 ул. Московская</t>
  </si>
  <si>
    <t>дом № 25/2</t>
  </si>
  <si>
    <t>дом № 20/32</t>
  </si>
  <si>
    <t>Начало участка д. 25/2 ул. Воскресенская Конец участка д. 20/32 ул. Декабристов</t>
  </si>
  <si>
    <t>ул. Железняки, ул.Тарутинская</t>
  </si>
  <si>
    <t>ул. Глаголева, гаражи</t>
  </si>
  <si>
    <t>дом № 69</t>
  </si>
  <si>
    <t>дом № 11</t>
  </si>
  <si>
    <t>дом № 32А</t>
  </si>
  <si>
    <t>пересечение с ул.Радужная</t>
  </si>
  <si>
    <t>СНТ "Колос"</t>
  </si>
  <si>
    <t>пересечение с ул.Маяковского</t>
  </si>
  <si>
    <t>1+654</t>
  </si>
  <si>
    <t>1+979</t>
  </si>
  <si>
    <t>1+499</t>
  </si>
  <si>
    <t>2+654</t>
  </si>
  <si>
    <t>0+631</t>
  </si>
  <si>
    <t>0+710</t>
  </si>
  <si>
    <t>0+524</t>
  </si>
  <si>
    <t>0+540</t>
  </si>
  <si>
    <t>ул. Гагарина</t>
  </si>
  <si>
    <t>ул. Королева</t>
  </si>
  <si>
    <t>Автомобильные дороги федерального значения (финансируемые за счет средств Федерального дорожного агентства и ГК "Автодор")</t>
  </si>
  <si>
    <t>0+401</t>
  </si>
  <si>
    <t>11+805</t>
  </si>
  <si>
    <t>км 2+995</t>
  </si>
  <si>
    <t>Автомобильная дорога по дер Слобода</t>
  </si>
  <si>
    <t>Муромцево-Космачи-Семыкино</t>
  </si>
  <si>
    <t>Автомобильная дорога по ул. Успенская в г.Малоярославец</t>
  </si>
  <si>
    <t>2+809</t>
  </si>
  <si>
    <t>0+738</t>
  </si>
  <si>
    <t>д. 19 ул. Воскресенская</t>
  </si>
  <si>
    <t>д. 18 пер. Григоров</t>
  </si>
  <si>
    <t>0+940</t>
  </si>
  <si>
    <t>12+555</t>
  </si>
  <si>
    <t xml:space="preserve">ремонт покрытия проезжей части </t>
  </si>
  <si>
    <t>Автодорога по д.Горки</t>
  </si>
  <si>
    <t>Автомобильная дорога  по ул.Зеленая в п.Воротынск</t>
  </si>
  <si>
    <t>Автомобильная дорога по ул. Пролетарская</t>
  </si>
  <si>
    <t>0+400</t>
  </si>
  <si>
    <t>ул. Плеханова</t>
  </si>
  <si>
    <t>ул. Пушкина</t>
  </si>
  <si>
    <t xml:space="preserve">ул. Парковая </t>
  </si>
  <si>
    <t>ул. Комсомольская</t>
  </si>
  <si>
    <t xml:space="preserve">Автомобильная дорога Малоярославец-Боровск-Кривское-Обнинск </t>
  </si>
  <si>
    <t>3404393        2243143</t>
  </si>
  <si>
    <t>1+816</t>
  </si>
  <si>
    <t>0+008</t>
  </si>
  <si>
    <t>1+080</t>
  </si>
  <si>
    <t>0+970</t>
  </si>
  <si>
    <t>0+005</t>
  </si>
  <si>
    <t>0+823</t>
  </si>
  <si>
    <t>0+887</t>
  </si>
  <si>
    <t>0+078</t>
  </si>
  <si>
    <t>1+370</t>
  </si>
  <si>
    <t>0+226</t>
  </si>
  <si>
    <t>1+750</t>
  </si>
  <si>
    <t>1+965</t>
  </si>
  <si>
    <t>1+220</t>
  </si>
  <si>
    <t>0+840</t>
  </si>
  <si>
    <t>1+940</t>
  </si>
  <si>
    <t>Автодорога по ул. Дачная с. Перемышль</t>
  </si>
  <si>
    <t>1+800</t>
  </si>
  <si>
    <t>дом № 26</t>
  </si>
  <si>
    <t>дом № 70</t>
  </si>
  <si>
    <t>дом № 118</t>
  </si>
  <si>
    <t>дом № 38а</t>
  </si>
  <si>
    <t>дом № 10                        ул. Поленова</t>
  </si>
  <si>
    <t>дом № 2а</t>
  </si>
  <si>
    <t>дом № 15</t>
  </si>
  <si>
    <t>Автомобильная дорога по ул.Баррикад (от ул.Ленина до ул.Плеханова)</t>
  </si>
  <si>
    <t>Автомобильная дорога по ул.Привокзальная, ст.Калуга-2</t>
  </si>
  <si>
    <t>Автомобильная дорога по Привокзальной площади</t>
  </si>
  <si>
    <t>0+816</t>
  </si>
  <si>
    <t>1+250</t>
  </si>
  <si>
    <t>7+250</t>
  </si>
  <si>
    <t>0+830</t>
  </si>
  <si>
    <t xml:space="preserve">дом № 6 по ул. Белкинская </t>
  </si>
  <si>
    <t>дом № 33 по ул. Борисоглебская</t>
  </si>
  <si>
    <t>пл. Треугльная</t>
  </si>
  <si>
    <t>пр. Маркса</t>
  </si>
  <si>
    <t>0+190</t>
  </si>
  <si>
    <t>Автомобильная дорога по ул.Спортсмена в п.Полотняный завод</t>
  </si>
  <si>
    <t>0+271</t>
  </si>
  <si>
    <t>2+760</t>
  </si>
  <si>
    <t xml:space="preserve">Автодорога по д. Зимницы </t>
  </si>
  <si>
    <t>1+228</t>
  </si>
  <si>
    <t xml:space="preserve">"Калуга - Ферзиково - Таруса - Серпухов" - Новосел </t>
  </si>
  <si>
    <t>4+240</t>
  </si>
  <si>
    <t xml:space="preserve">ул. Константиновых </t>
  </si>
  <si>
    <t>ул. Ленина</t>
  </si>
  <si>
    <t xml:space="preserve">Автомобильная дорога по ул. 8 Марта </t>
  </si>
  <si>
    <t>0+344</t>
  </si>
  <si>
    <t>1+463</t>
  </si>
  <si>
    <t>1+050</t>
  </si>
  <si>
    <t>0+371</t>
  </si>
  <si>
    <t>0+445</t>
  </si>
  <si>
    <t>0+680</t>
  </si>
  <si>
    <t>1+760</t>
  </si>
  <si>
    <t>0+612</t>
  </si>
  <si>
    <t>4+100</t>
  </si>
  <si>
    <t>0+330</t>
  </si>
  <si>
    <t>2+222</t>
  </si>
  <si>
    <t>1+170</t>
  </si>
  <si>
    <t>1+110</t>
  </si>
  <si>
    <t>1+217</t>
  </si>
  <si>
    <t>0+683</t>
  </si>
  <si>
    <t>1+214</t>
  </si>
  <si>
    <t>0+504</t>
  </si>
  <si>
    <t>д. 35</t>
  </si>
  <si>
    <t xml:space="preserve"> дом № 112а</t>
  </si>
  <si>
    <t xml:space="preserve"> дом № 158</t>
  </si>
  <si>
    <t>ул. Молодежная</t>
  </si>
  <si>
    <t xml:space="preserve"> дом № 36/1</t>
  </si>
  <si>
    <t xml:space="preserve"> дом № 136</t>
  </si>
  <si>
    <t xml:space="preserve"> дом № 66/3</t>
  </si>
  <si>
    <t xml:space="preserve"> дом № 23</t>
  </si>
  <si>
    <t xml:space="preserve"> дом № 121</t>
  </si>
  <si>
    <t xml:space="preserve"> дом № 37/29</t>
  </si>
  <si>
    <t xml:space="preserve"> дом № 57</t>
  </si>
  <si>
    <t xml:space="preserve"> дом № 142</t>
  </si>
  <si>
    <t xml:space="preserve"> дом № 139</t>
  </si>
  <si>
    <t xml:space="preserve"> дом № 81</t>
  </si>
  <si>
    <t xml:space="preserve"> дом № 129</t>
  </si>
  <si>
    <t xml:space="preserve"> дом № 10</t>
  </si>
  <si>
    <t xml:space="preserve"> ул. Советская дом № 120</t>
  </si>
  <si>
    <t xml:space="preserve"> ул. Советская дом № 45а</t>
  </si>
  <si>
    <t xml:space="preserve"> ул. Советская дом № 19</t>
  </si>
  <si>
    <t xml:space="preserve"> дом № 50</t>
  </si>
  <si>
    <t>Автомобильная дорога по ул. Степана Разина</t>
  </si>
  <si>
    <t>Автомобильная дорога по пл. Старый торг</t>
  </si>
  <si>
    <t>Автомобильная дорога по ул. Кутузова</t>
  </si>
  <si>
    <t>0+702</t>
  </si>
  <si>
    <t>0+244</t>
  </si>
  <si>
    <t>0+288</t>
  </si>
  <si>
    <t xml:space="preserve">Автомобильная дорога по ул. Пухова в пос. Бабынино </t>
  </si>
  <si>
    <t xml:space="preserve">Автомобильная дорога по ул. Крестьянская в пос. Бабынино </t>
  </si>
  <si>
    <t>0+405</t>
  </si>
  <si>
    <t>Автомобильная дорога по ул. Горького в г.Кондрово</t>
  </si>
  <si>
    <t>Автомобильная дорога по ул. Циолковского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</si>
</sst>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"/>
    <numFmt numFmtId="165" formatCode="#,##0.0"/>
    <numFmt numFmtId="166" formatCode="#,##0.000"/>
    <numFmt numFmtId="167" formatCode="0.0"/>
    <numFmt numFmtId="168" formatCode="0.0000"/>
    <numFmt numFmtId="169" formatCode="#,##0.0\ _₽"/>
    <numFmt numFmtId="170" formatCode="0.00000"/>
    <numFmt numFmtId="171" formatCode="#,##0.00000"/>
    <numFmt numFmtId="172" formatCode="#,##0.0000"/>
    <numFmt numFmtId="173" formatCode="#,##0.00\ _₽"/>
    <numFmt numFmtId="174" formatCode="#,##0.0000\ _₽"/>
    <numFmt numFmtId="176" formatCode="#,##0.000\ _₽"/>
  </numFmts>
  <fonts count="50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</font>
    <font>
      <sz val="10"/>
      <name val="Arial Cyr"/>
      <charset val="204"/>
    </font>
    <font>
      <sz val="11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Arial"/>
      <family val="2"/>
      <charset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2"/>
      <name val="Times New Roman Cyr"/>
      <charset val="204"/>
    </font>
    <font>
      <sz val="11"/>
      <name val="Times New Roman"/>
      <family val="1"/>
      <charset val="1"/>
    </font>
    <font>
      <b/>
      <sz val="16"/>
      <name val="Times New Roman"/>
      <family val="1"/>
    </font>
    <font>
      <b/>
      <sz val="11"/>
      <name val="Times New Roman"/>
      <family val="1"/>
      <charset val="1"/>
    </font>
    <font>
      <sz val="12"/>
      <color rgb="FF0070C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13"/>
      <name val="Times New Roman"/>
      <family val="1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</font>
    <font>
      <sz val="14"/>
      <name val="Arial"/>
      <family val="2"/>
    </font>
    <font>
      <sz val="13"/>
      <name val="Times New Roman"/>
      <family val="1"/>
      <charset val="1"/>
    </font>
    <font>
      <sz val="14"/>
      <name val="Times New Roman"/>
      <family val="1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7" fillId="0" borderId="0"/>
    <xf numFmtId="0" fontId="5" fillId="0" borderId="0"/>
    <xf numFmtId="0" fontId="2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24" fillId="0" borderId="0"/>
    <xf numFmtId="0" fontId="24" fillId="0" borderId="0"/>
  </cellStyleXfs>
  <cellXfs count="257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7" borderId="0" xfId="0" applyFont="1" applyFill="1"/>
    <xf numFmtId="0" fontId="6" fillId="7" borderId="0" xfId="0" applyFont="1" applyFill="1" applyBorder="1"/>
    <xf numFmtId="0" fontId="6" fillId="0" borderId="0" xfId="0" applyFont="1" applyFill="1"/>
    <xf numFmtId="0" fontId="6" fillId="6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0" borderId="2" xfId="0" applyFont="1" applyBorder="1" applyAlignment="1"/>
    <xf numFmtId="0" fontId="6" fillId="6" borderId="0" xfId="0" applyFont="1" applyFill="1"/>
    <xf numFmtId="0" fontId="6" fillId="9" borderId="0" xfId="0" applyFont="1" applyFill="1" applyBorder="1"/>
    <xf numFmtId="0" fontId="6" fillId="9" borderId="0" xfId="0" applyFont="1" applyFill="1"/>
    <xf numFmtId="165" fontId="6" fillId="9" borderId="0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/>
    <xf numFmtId="2" fontId="8" fillId="1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6" fontId="4" fillId="1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Fill="1"/>
    <xf numFmtId="3" fontId="10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6" fillId="10" borderId="0" xfId="0" applyFont="1" applyFill="1"/>
    <xf numFmtId="0" fontId="6" fillId="10" borderId="2" xfId="0" applyFont="1" applyFill="1" applyBorder="1" applyAlignment="1">
      <alignment horizontal="center" vertical="center"/>
    </xf>
    <xf numFmtId="164" fontId="6" fillId="10" borderId="2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Border="1"/>
    <xf numFmtId="0" fontId="19" fillId="9" borderId="0" xfId="0" applyFont="1" applyFill="1"/>
    <xf numFmtId="167" fontId="4" fillId="10" borderId="2" xfId="0" applyNumberFormat="1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167" fontId="6" fillId="10" borderId="2" xfId="0" applyNumberFormat="1" applyFont="1" applyFill="1" applyBorder="1" applyAlignment="1">
      <alignment horizontal="center" vertical="center" wrapText="1"/>
    </xf>
    <xf numFmtId="169" fontId="6" fillId="10" borderId="2" xfId="0" applyNumberFormat="1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/>
    </xf>
    <xf numFmtId="169" fontId="6" fillId="10" borderId="2" xfId="0" applyNumberFormat="1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 wrapText="1"/>
    </xf>
    <xf numFmtId="167" fontId="0" fillId="10" borderId="2" xfId="0" applyNumberFormat="1" applyFont="1" applyFill="1" applyBorder="1" applyAlignment="1">
      <alignment vertical="center"/>
    </xf>
    <xf numFmtId="0" fontId="6" fillId="10" borderId="2" xfId="0" applyFont="1" applyFill="1" applyBorder="1" applyAlignment="1">
      <alignment horizontal="center"/>
    </xf>
    <xf numFmtId="169" fontId="4" fillId="10" borderId="2" xfId="0" applyNumberFormat="1" applyFont="1" applyFill="1" applyBorder="1" applyAlignment="1">
      <alignment vertical="center"/>
    </xf>
    <xf numFmtId="166" fontId="4" fillId="10" borderId="0" xfId="0" applyNumberFormat="1" applyFont="1" applyFill="1" applyAlignment="1">
      <alignment horizontal="center" vertical="center" wrapText="1"/>
    </xf>
    <xf numFmtId="164" fontId="6" fillId="10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" fontId="15" fillId="10" borderId="2" xfId="0" applyNumberFormat="1" applyFont="1" applyFill="1" applyBorder="1" applyAlignment="1">
      <alignment horizontal="center" vertical="center"/>
    </xf>
    <xf numFmtId="166" fontId="18" fillId="10" borderId="0" xfId="0" applyNumberFormat="1" applyFont="1" applyFill="1" applyBorder="1" applyAlignment="1">
      <alignment horizontal="center" vertical="center" wrapText="1"/>
    </xf>
    <xf numFmtId="166" fontId="18" fillId="10" borderId="0" xfId="0" applyNumberFormat="1" applyFont="1" applyFill="1" applyAlignment="1">
      <alignment horizontal="center" vertical="center" wrapText="1"/>
    </xf>
    <xf numFmtId="167" fontId="6" fillId="1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6" fontId="10" fillId="10" borderId="2" xfId="0" applyNumberFormat="1" applyFont="1" applyFill="1" applyBorder="1" applyAlignment="1">
      <alignment horizontal="left" vertical="center" wrapText="1"/>
    </xf>
    <xf numFmtId="166" fontId="18" fillId="10" borderId="13" xfId="0" applyNumberFormat="1" applyFont="1" applyFill="1" applyBorder="1" applyAlignment="1">
      <alignment horizontal="center" vertical="center" wrapText="1"/>
    </xf>
    <xf numFmtId="0" fontId="4" fillId="10" borderId="2" xfId="6" applyFont="1" applyFill="1" applyBorder="1" applyAlignment="1">
      <alignment vertical="center"/>
    </xf>
    <xf numFmtId="0" fontId="4" fillId="10" borderId="2" xfId="6" applyFont="1" applyFill="1" applyBorder="1" applyAlignment="1">
      <alignment vertical="center" wrapText="1"/>
    </xf>
    <xf numFmtId="164" fontId="4" fillId="10" borderId="2" xfId="6" applyNumberFormat="1" applyFont="1" applyFill="1" applyBorder="1" applyAlignment="1">
      <alignment horizontal="center" vertical="center"/>
    </xf>
    <xf numFmtId="0" fontId="4" fillId="10" borderId="2" xfId="6" applyFont="1" applyFill="1" applyBorder="1" applyAlignment="1">
      <alignment horizontal="center" vertical="center"/>
    </xf>
    <xf numFmtId="167" fontId="4" fillId="10" borderId="2" xfId="6" applyNumberFormat="1" applyFont="1" applyFill="1" applyBorder="1" applyAlignment="1">
      <alignment vertical="center"/>
    </xf>
    <xf numFmtId="2" fontId="6" fillId="10" borderId="16" xfId="6" applyNumberFormat="1" applyFont="1" applyFill="1" applyBorder="1" applyAlignment="1">
      <alignment horizontal="center" vertical="center" wrapText="1"/>
    </xf>
    <xf numFmtId="164" fontId="6" fillId="10" borderId="16" xfId="6" applyNumberFormat="1" applyFont="1" applyFill="1" applyBorder="1" applyAlignment="1">
      <alignment horizontal="center" vertical="center" wrapText="1"/>
    </xf>
    <xf numFmtId="167" fontId="6" fillId="10" borderId="16" xfId="6" applyNumberFormat="1" applyFont="1" applyFill="1" applyBorder="1" applyAlignment="1">
      <alignment horizontal="center" vertical="center" wrapText="1"/>
    </xf>
    <xf numFmtId="0" fontId="6" fillId="10" borderId="16" xfId="6" applyNumberFormat="1" applyFont="1" applyFill="1" applyBorder="1" applyAlignment="1">
      <alignment horizontal="center" vertical="center" wrapText="1"/>
    </xf>
    <xf numFmtId="166" fontId="22" fillId="11" borderId="13" xfId="0" applyNumberFormat="1" applyFont="1" applyFill="1" applyBorder="1" applyAlignment="1">
      <alignment horizontal="center" vertical="center" wrapText="1"/>
    </xf>
    <xf numFmtId="3" fontId="22" fillId="11" borderId="2" xfId="0" applyNumberFormat="1" applyFont="1" applyFill="1" applyBorder="1" applyAlignment="1">
      <alignment horizontal="center" vertical="center" wrapText="1"/>
    </xf>
    <xf numFmtId="166" fontId="22" fillId="11" borderId="2" xfId="0" applyNumberFormat="1" applyFont="1" applyFill="1" applyBorder="1" applyAlignment="1">
      <alignment horizontal="center" vertical="center" wrapText="1"/>
    </xf>
    <xf numFmtId="165" fontId="22" fillId="11" borderId="13" xfId="0" applyNumberFormat="1" applyFont="1" applyFill="1" applyBorder="1" applyAlignment="1">
      <alignment horizontal="center" vertical="center" wrapText="1"/>
    </xf>
    <xf numFmtId="167" fontId="6" fillId="10" borderId="17" xfId="6" applyNumberFormat="1" applyFont="1" applyFill="1" applyBorder="1" applyAlignment="1">
      <alignment horizontal="center" vertical="center" wrapText="1"/>
    </xf>
    <xf numFmtId="164" fontId="6" fillId="10" borderId="2" xfId="6" applyNumberFormat="1" applyFont="1" applyFill="1" applyBorder="1" applyAlignment="1">
      <alignment horizontal="center" vertical="center" wrapText="1"/>
    </xf>
    <xf numFmtId="166" fontId="22" fillId="11" borderId="12" xfId="0" applyNumberFormat="1" applyFont="1" applyFill="1" applyBorder="1" applyAlignment="1">
      <alignment vertical="center"/>
    </xf>
    <xf numFmtId="166" fontId="22" fillId="11" borderId="2" xfId="0" applyNumberFormat="1" applyFont="1" applyFill="1" applyBorder="1" applyAlignment="1">
      <alignment vertical="center"/>
    </xf>
    <xf numFmtId="166" fontId="22" fillId="11" borderId="2" xfId="0" applyNumberFormat="1" applyFont="1" applyFill="1" applyBorder="1" applyAlignment="1">
      <alignment horizontal="center" vertical="center"/>
    </xf>
    <xf numFmtId="166" fontId="19" fillId="11" borderId="2" xfId="0" applyNumberFormat="1" applyFont="1" applyFill="1" applyBorder="1" applyAlignment="1">
      <alignment vertical="center"/>
    </xf>
    <xf numFmtId="3" fontId="10" fillId="11" borderId="13" xfId="0" applyNumberFormat="1" applyFont="1" applyFill="1" applyBorder="1" applyAlignment="1">
      <alignment horizontal="center" vertical="center" wrapText="1"/>
    </xf>
    <xf numFmtId="3" fontId="10" fillId="11" borderId="2" xfId="0" applyNumberFormat="1" applyFont="1" applyFill="1" applyBorder="1" applyAlignment="1">
      <alignment horizontal="center" vertical="center" wrapText="1"/>
    </xf>
    <xf numFmtId="166" fontId="4" fillId="11" borderId="2" xfId="0" applyNumberFormat="1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vertical="center" wrapText="1"/>
    </xf>
    <xf numFmtId="3" fontId="18" fillId="11" borderId="2" xfId="0" applyNumberFormat="1" applyFont="1" applyFill="1" applyBorder="1" applyAlignment="1">
      <alignment horizontal="center" vertical="center" wrapText="1"/>
    </xf>
    <xf numFmtId="166" fontId="18" fillId="11" borderId="2" xfId="0" applyNumberFormat="1" applyFont="1" applyFill="1" applyBorder="1" applyAlignment="1">
      <alignment horizontal="center" vertical="center" wrapText="1"/>
    </xf>
    <xf numFmtId="166" fontId="18" fillId="11" borderId="13" xfId="0" applyNumberFormat="1" applyFont="1" applyFill="1" applyBorder="1" applyAlignment="1">
      <alignment horizontal="center" vertical="center" wrapText="1"/>
    </xf>
    <xf numFmtId="164" fontId="6" fillId="11" borderId="2" xfId="0" applyNumberFormat="1" applyFont="1" applyFill="1" applyBorder="1" applyAlignment="1">
      <alignment horizontal="center" vertical="center" wrapText="1"/>
    </xf>
    <xf numFmtId="3" fontId="17" fillId="11" borderId="2" xfId="0" applyNumberFormat="1" applyFont="1" applyFill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 wrapText="1"/>
    </xf>
    <xf numFmtId="165" fontId="8" fillId="11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22" fillId="9" borderId="2" xfId="0" applyFont="1" applyFill="1" applyBorder="1" applyAlignment="1">
      <alignment vertical="center" wrapText="1"/>
    </xf>
    <xf numFmtId="166" fontId="22" fillId="9" borderId="2" xfId="0" applyNumberFormat="1" applyFont="1" applyFill="1" applyBorder="1" applyAlignment="1">
      <alignment horizontal="center" vertical="center" wrapText="1"/>
    </xf>
    <xf numFmtId="165" fontId="22" fillId="9" borderId="2" xfId="0" applyNumberFormat="1" applyFont="1" applyFill="1" applyBorder="1" applyAlignment="1">
      <alignment vertical="center" wrapText="1"/>
    </xf>
    <xf numFmtId="165" fontId="22" fillId="9" borderId="2" xfId="0" applyNumberFormat="1" applyFont="1" applyFill="1" applyBorder="1" applyAlignment="1">
      <alignment horizontal="center" vertical="center" wrapText="1"/>
    </xf>
    <xf numFmtId="165" fontId="19" fillId="9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vertical="center" wrapText="1"/>
    </xf>
    <xf numFmtId="0" fontId="12" fillId="9" borderId="2" xfId="0" applyFont="1" applyFill="1" applyBorder="1" applyAlignment="1">
      <alignment horizontal="center" vertical="center" wrapText="1"/>
    </xf>
    <xf numFmtId="165" fontId="12" fillId="9" borderId="2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12" fillId="9" borderId="2" xfId="0" applyNumberFormat="1" applyFont="1" applyFill="1" applyBorder="1" applyAlignment="1">
      <alignment horizontal="center" vertical="center" wrapText="1"/>
    </xf>
    <xf numFmtId="2" fontId="12" fillId="9" borderId="2" xfId="0" applyNumberFormat="1" applyFont="1" applyFill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horizontal="center" vertical="center" wrapText="1"/>
    </xf>
    <xf numFmtId="165" fontId="4" fillId="9" borderId="2" xfId="0" applyNumberFormat="1" applyFont="1" applyFill="1" applyBorder="1" applyAlignment="1">
      <alignment horizontal="center" vertical="center" wrapText="1"/>
    </xf>
    <xf numFmtId="166" fontId="19" fillId="10" borderId="0" xfId="0" applyNumberFormat="1" applyFont="1" applyFill="1" applyBorder="1"/>
    <xf numFmtId="0" fontId="10" fillId="10" borderId="0" xfId="0" applyFont="1" applyFill="1" applyBorder="1"/>
    <xf numFmtId="166" fontId="17" fillId="10" borderId="0" xfId="0" applyNumberFormat="1" applyFont="1" applyFill="1" applyBorder="1"/>
    <xf numFmtId="0" fontId="14" fillId="10" borderId="0" xfId="0" applyFont="1" applyFill="1" applyAlignment="1">
      <alignment horizontal="center" vertical="center" wrapText="1"/>
    </xf>
    <xf numFmtId="166" fontId="15" fillId="10" borderId="0" xfId="0" applyNumberFormat="1" applyFont="1" applyFill="1" applyBorder="1" applyAlignment="1">
      <alignment horizontal="center" vertical="center" wrapText="1"/>
    </xf>
    <xf numFmtId="166" fontId="15" fillId="10" borderId="0" xfId="0" applyNumberFormat="1" applyFont="1" applyFill="1" applyAlignment="1">
      <alignment horizontal="center" vertical="center" wrapText="1"/>
    </xf>
    <xf numFmtId="166" fontId="17" fillId="10" borderId="0" xfId="0" applyNumberFormat="1" applyFont="1" applyFill="1" applyBorder="1" applyAlignment="1">
      <alignment horizontal="center" vertical="center" wrapText="1"/>
    </xf>
    <xf numFmtId="166" fontId="17" fillId="10" borderId="0" xfId="0" applyNumberFormat="1" applyFont="1" applyFill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167" fontId="12" fillId="9" borderId="2" xfId="0" applyNumberFormat="1" applyFont="1" applyFill="1" applyBorder="1" applyAlignment="1">
      <alignment horizontal="center" vertical="center" wrapText="1"/>
    </xf>
    <xf numFmtId="166" fontId="10" fillId="10" borderId="13" xfId="0" applyNumberFormat="1" applyFont="1" applyFill="1" applyBorder="1" applyAlignment="1">
      <alignment horizontal="left" vertical="center" wrapText="1"/>
    </xf>
    <xf numFmtId="3" fontId="10" fillId="10" borderId="13" xfId="0" applyNumberFormat="1" applyFont="1" applyFill="1" applyBorder="1" applyAlignment="1">
      <alignment horizontal="center" wrapText="1"/>
    </xf>
    <xf numFmtId="0" fontId="15" fillId="10" borderId="2" xfId="0" applyFont="1" applyFill="1" applyBorder="1" applyAlignment="1">
      <alignment vertical="top" wrapText="1"/>
    </xf>
    <xf numFmtId="164" fontId="15" fillId="10" borderId="2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wrapText="1"/>
    </xf>
    <xf numFmtId="167" fontId="15" fillId="11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166" fontId="27" fillId="10" borderId="2" xfId="0" applyNumberFormat="1" applyFont="1" applyFill="1" applyBorder="1" applyAlignment="1">
      <alignment horizontal="center" vertical="center" wrapText="1"/>
    </xf>
    <xf numFmtId="166" fontId="20" fillId="10" borderId="2" xfId="0" applyNumberFormat="1" applyFont="1" applyFill="1" applyBorder="1" applyAlignment="1">
      <alignment horizontal="center" vertical="center" wrapText="1"/>
    </xf>
    <xf numFmtId="49" fontId="15" fillId="10" borderId="2" xfId="0" applyNumberFormat="1" applyFont="1" applyFill="1" applyBorder="1" applyAlignment="1">
      <alignment horizontal="center" vertical="center" wrapText="1"/>
    </xf>
    <xf numFmtId="165" fontId="10" fillId="10" borderId="2" xfId="0" applyNumberFormat="1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left" vertical="center" wrapText="1"/>
    </xf>
    <xf numFmtId="164" fontId="17" fillId="10" borderId="2" xfId="0" applyNumberFormat="1" applyFont="1" applyFill="1" applyBorder="1" applyAlignment="1">
      <alignment horizontal="center" vertical="center" wrapText="1"/>
    </xf>
    <xf numFmtId="167" fontId="17" fillId="10" borderId="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165" fontId="17" fillId="10" borderId="2" xfId="0" applyNumberFormat="1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center" vertical="center"/>
    </xf>
    <xf numFmtId="0" fontId="6" fillId="10" borderId="2" xfId="0" applyFont="1" applyFill="1" applyBorder="1"/>
    <xf numFmtId="0" fontId="6" fillId="10" borderId="13" xfId="0" applyFont="1" applyFill="1" applyBorder="1"/>
    <xf numFmtId="0" fontId="6" fillId="10" borderId="0" xfId="0" applyFont="1" applyFill="1" applyBorder="1"/>
    <xf numFmtId="165" fontId="22" fillId="11" borderId="13" xfId="0" applyNumberFormat="1" applyFont="1" applyFill="1" applyBorder="1" applyAlignment="1">
      <alignment horizontal="center" vertical="center"/>
    </xf>
    <xf numFmtId="166" fontId="22" fillId="11" borderId="13" xfId="0" applyNumberFormat="1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3" fontId="17" fillId="11" borderId="3" xfId="0" applyNumberFormat="1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left" vertical="center" wrapText="1"/>
    </xf>
    <xf numFmtId="3" fontId="15" fillId="11" borderId="3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 wrapText="1"/>
    </xf>
    <xf numFmtId="166" fontId="17" fillId="10" borderId="13" xfId="0" applyNumberFormat="1" applyFont="1" applyFill="1" applyBorder="1" applyAlignment="1">
      <alignment horizontal="center" vertical="center" wrapText="1"/>
    </xf>
    <xf numFmtId="166" fontId="17" fillId="11" borderId="13" xfId="0" applyNumberFormat="1" applyFont="1" applyFill="1" applyBorder="1" applyAlignment="1">
      <alignment horizontal="center" vertical="center" wrapText="1"/>
    </xf>
    <xf numFmtId="166" fontId="17" fillId="10" borderId="13" xfId="0" applyNumberFormat="1" applyFont="1" applyFill="1" applyBorder="1" applyAlignment="1">
      <alignment horizontal="center" vertical="center"/>
    </xf>
    <xf numFmtId="165" fontId="17" fillId="11" borderId="13" xfId="0" applyNumberFormat="1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5" fontId="4" fillId="10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166" fontId="10" fillId="10" borderId="2" xfId="0" applyNumberFormat="1" applyFont="1" applyFill="1" applyBorder="1" applyAlignment="1">
      <alignment horizontal="center" vertical="center" wrapText="1"/>
    </xf>
    <xf numFmtId="164" fontId="15" fillId="11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vertical="center" wrapText="1"/>
    </xf>
    <xf numFmtId="164" fontId="11" fillId="10" borderId="2" xfId="0" applyNumberFormat="1" applyFont="1" applyFill="1" applyBorder="1" applyAlignment="1">
      <alignment horizontal="center" vertical="center" wrapText="1"/>
    </xf>
    <xf numFmtId="165" fontId="11" fillId="10" borderId="2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vertical="center"/>
    </xf>
    <xf numFmtId="0" fontId="26" fillId="5" borderId="2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vertical="center"/>
    </xf>
    <xf numFmtId="0" fontId="30" fillId="6" borderId="2" xfId="0" applyFont="1" applyFill="1" applyBorder="1"/>
    <xf numFmtId="0" fontId="30" fillId="0" borderId="0" xfId="0" applyFont="1" applyBorder="1"/>
    <xf numFmtId="0" fontId="30" fillId="0" borderId="0" xfId="0" applyFont="1"/>
    <xf numFmtId="0" fontId="30" fillId="0" borderId="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0" fontId="15" fillId="11" borderId="35" xfId="0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7" fontId="15" fillId="12" borderId="2" xfId="5" applyNumberFormat="1" applyFont="1" applyFill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29" fillId="12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7" fontId="15" fillId="12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29" fillId="12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4" fontId="6" fillId="10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15" fillId="0" borderId="0" xfId="0" applyFont="1"/>
    <xf numFmtId="0" fontId="6" fillId="4" borderId="2" xfId="0" applyFont="1" applyFill="1" applyBorder="1"/>
    <xf numFmtId="165" fontId="22" fillId="4" borderId="1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166" fontId="15" fillId="3" borderId="13" xfId="0" applyNumberFormat="1" applyFont="1" applyFill="1" applyBorder="1" applyAlignment="1">
      <alignment horizontal="left" vertical="center" wrapText="1"/>
    </xf>
    <xf numFmtId="0" fontId="4" fillId="6" borderId="2" xfId="0" applyFont="1" applyFill="1" applyBorder="1"/>
    <xf numFmtId="4" fontId="4" fillId="6" borderId="2" xfId="0" applyNumberFormat="1" applyFont="1" applyFill="1" applyBorder="1" applyAlignment="1">
      <alignment horizontal="center" vertical="center" wrapText="1"/>
    </xf>
    <xf numFmtId="4" fontId="12" fillId="9" borderId="2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4" fontId="17" fillId="11" borderId="13" xfId="0" applyNumberFormat="1" applyFont="1" applyFill="1" applyBorder="1" applyAlignment="1">
      <alignment horizontal="center" vertical="center" wrapText="1"/>
    </xf>
    <xf numFmtId="4" fontId="17" fillId="10" borderId="13" xfId="0" applyNumberFormat="1" applyFont="1" applyFill="1" applyBorder="1" applyAlignment="1">
      <alignment horizontal="center" vertical="center" wrapText="1"/>
    </xf>
    <xf numFmtId="4" fontId="18" fillId="11" borderId="13" xfId="0" applyNumberFormat="1" applyFont="1" applyFill="1" applyBorder="1" applyAlignment="1">
      <alignment horizontal="center" vertical="center" wrapText="1"/>
    </xf>
    <xf numFmtId="4" fontId="22" fillId="11" borderId="13" xfId="0" applyNumberFormat="1" applyFont="1" applyFill="1" applyBorder="1" applyAlignment="1">
      <alignment horizontal="center" vertical="center" wrapText="1"/>
    </xf>
    <xf numFmtId="4" fontId="22" fillId="9" borderId="2" xfId="0" applyNumberFormat="1" applyFont="1" applyFill="1" applyBorder="1" applyAlignment="1">
      <alignment horizontal="center" vertical="center" wrapText="1"/>
    </xf>
    <xf numFmtId="1" fontId="15" fillId="11" borderId="2" xfId="0" applyNumberFormat="1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19" fillId="0" borderId="0" xfId="0" applyFont="1" applyBorder="1"/>
    <xf numFmtId="0" fontId="19" fillId="0" borderId="0" xfId="0" applyFont="1"/>
    <xf numFmtId="0" fontId="12" fillId="0" borderId="12" xfId="0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3" fontId="4" fillId="10" borderId="2" xfId="0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 wrapText="1"/>
    </xf>
    <xf numFmtId="167" fontId="4" fillId="11" borderId="13" xfId="0" applyNumberFormat="1" applyFont="1" applyFill="1" applyBorder="1" applyAlignment="1">
      <alignment horizontal="center" vertical="center"/>
    </xf>
    <xf numFmtId="166" fontId="10" fillId="10" borderId="15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/>
    </xf>
    <xf numFmtId="0" fontId="33" fillId="2" borderId="12" xfId="0" applyFont="1" applyFill="1" applyBorder="1" applyAlignment="1">
      <alignment vertical="center"/>
    </xf>
    <xf numFmtId="0" fontId="32" fillId="10" borderId="2" xfId="0" applyFont="1" applyFill="1" applyBorder="1" applyAlignment="1">
      <alignment horizontal="center" vertical="center" wrapText="1"/>
    </xf>
    <xf numFmtId="2" fontId="6" fillId="10" borderId="7" xfId="0" applyNumberFormat="1" applyFont="1" applyFill="1" applyBorder="1" applyAlignment="1">
      <alignment horizontal="center" vertical="center" wrapText="1"/>
    </xf>
    <xf numFmtId="2" fontId="6" fillId="10" borderId="11" xfId="0" applyNumberFormat="1" applyFont="1" applyFill="1" applyBorder="1" applyAlignment="1">
      <alignment horizontal="center" vertical="center" wrapText="1"/>
    </xf>
    <xf numFmtId="165" fontId="18" fillId="11" borderId="13" xfId="0" applyNumberFormat="1" applyFont="1" applyFill="1" applyBorder="1" applyAlignment="1">
      <alignment horizontal="center" vertical="center" wrapText="1"/>
    </xf>
    <xf numFmtId="164" fontId="4" fillId="11" borderId="2" xfId="0" applyNumberFormat="1" applyFont="1" applyFill="1" applyBorder="1" applyAlignment="1">
      <alignment horizontal="center" vertical="center"/>
    </xf>
    <xf numFmtId="164" fontId="6" fillId="11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 wrapText="1"/>
    </xf>
    <xf numFmtId="169" fontId="6" fillId="11" borderId="2" xfId="0" applyNumberFormat="1" applyFont="1" applyFill="1" applyBorder="1" applyAlignment="1">
      <alignment vertical="center"/>
    </xf>
    <xf numFmtId="165" fontId="4" fillId="11" borderId="2" xfId="0" applyNumberFormat="1" applyFont="1" applyFill="1" applyBorder="1" applyAlignment="1">
      <alignment horizontal="center" vertical="center" wrapText="1"/>
    </xf>
    <xf numFmtId="166" fontId="4" fillId="11" borderId="11" xfId="0" applyNumberFormat="1" applyFont="1" applyFill="1" applyBorder="1" applyAlignment="1">
      <alignment horizontal="center" vertical="center" wrapText="1"/>
    </xf>
    <xf numFmtId="167" fontId="4" fillId="11" borderId="2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vertical="center" wrapText="1"/>
    </xf>
    <xf numFmtId="167" fontId="4" fillId="11" borderId="2" xfId="0" applyNumberFormat="1" applyFont="1" applyFill="1" applyBorder="1" applyAlignment="1">
      <alignment vertical="center"/>
    </xf>
    <xf numFmtId="167" fontId="3" fillId="11" borderId="2" xfId="0" applyNumberFormat="1" applyFont="1" applyFill="1" applyBorder="1" applyAlignment="1">
      <alignment horizontal="center" vertical="center"/>
    </xf>
    <xf numFmtId="169" fontId="4" fillId="11" borderId="2" xfId="0" applyNumberFormat="1" applyFont="1" applyFill="1" applyBorder="1" applyAlignment="1">
      <alignment vertical="center"/>
    </xf>
    <xf numFmtId="169" fontId="6" fillId="11" borderId="2" xfId="0" applyNumberFormat="1" applyFont="1" applyFill="1" applyBorder="1" applyAlignment="1">
      <alignment vertical="center" wrapText="1"/>
    </xf>
    <xf numFmtId="169" fontId="0" fillId="10" borderId="2" xfId="0" applyNumberFormat="1" applyFont="1" applyFill="1" applyBorder="1" applyAlignment="1">
      <alignment vertical="center" wrapText="1"/>
    </xf>
    <xf numFmtId="0" fontId="6" fillId="11" borderId="13" xfId="0" applyFont="1" applyFill="1" applyBorder="1" applyAlignment="1">
      <alignment vertical="center"/>
    </xf>
    <xf numFmtId="169" fontId="6" fillId="11" borderId="13" xfId="0" applyNumberFormat="1" applyFont="1" applyFill="1" applyBorder="1" applyAlignment="1">
      <alignment vertical="center"/>
    </xf>
    <xf numFmtId="164" fontId="4" fillId="11" borderId="2" xfId="0" applyNumberFormat="1" applyFont="1" applyFill="1" applyBorder="1" applyAlignment="1">
      <alignment horizontal="center" vertical="center" wrapText="1"/>
    </xf>
    <xf numFmtId="2" fontId="4" fillId="11" borderId="2" xfId="0" applyNumberFormat="1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vertical="center" wrapText="1"/>
    </xf>
    <xf numFmtId="169" fontId="4" fillId="10" borderId="2" xfId="0" applyNumberFormat="1" applyFont="1" applyFill="1" applyBorder="1" applyAlignment="1">
      <alignment vertical="center" wrapText="1"/>
    </xf>
    <xf numFmtId="164" fontId="4" fillId="10" borderId="16" xfId="6" applyNumberFormat="1" applyFont="1" applyFill="1" applyBorder="1" applyAlignment="1">
      <alignment horizontal="center" vertical="center" wrapText="1"/>
    </xf>
    <xf numFmtId="0" fontId="4" fillId="10" borderId="16" xfId="6" applyFont="1" applyFill="1" applyBorder="1" applyAlignment="1">
      <alignment horizontal="center" vertical="center" wrapText="1"/>
    </xf>
    <xf numFmtId="164" fontId="4" fillId="10" borderId="2" xfId="6" applyNumberFormat="1" applyFont="1" applyFill="1" applyBorder="1" applyAlignment="1">
      <alignment horizontal="center" vertical="center" wrapText="1"/>
    </xf>
    <xf numFmtId="167" fontId="4" fillId="10" borderId="2" xfId="6" applyNumberFormat="1" applyFont="1" applyFill="1" applyBorder="1" applyAlignment="1">
      <alignment vertical="center" wrapText="1"/>
    </xf>
    <xf numFmtId="164" fontId="4" fillId="10" borderId="20" xfId="6" applyNumberFormat="1" applyFont="1" applyFill="1" applyBorder="1" applyAlignment="1">
      <alignment horizontal="center" vertical="center" wrapText="1"/>
    </xf>
    <xf numFmtId="14" fontId="6" fillId="10" borderId="2" xfId="0" applyNumberFormat="1" applyFont="1" applyFill="1" applyBorder="1" applyAlignment="1">
      <alignment horizontal="center" vertical="center" wrapText="1"/>
    </xf>
    <xf numFmtId="166" fontId="17" fillId="11" borderId="12" xfId="0" applyNumberFormat="1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vertical="center" wrapText="1"/>
    </xf>
    <xf numFmtId="14" fontId="6" fillId="10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0" fontId="12" fillId="10" borderId="13" xfId="0" applyFont="1" applyFill="1" applyBorder="1" applyAlignment="1">
      <alignment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5" fillId="11" borderId="2" xfId="0" applyFont="1" applyFill="1" applyBorder="1" applyAlignment="1">
      <alignment vertical="center"/>
    </xf>
    <xf numFmtId="2" fontId="4" fillId="10" borderId="2" xfId="0" applyNumberFormat="1" applyFont="1" applyFill="1" applyBorder="1" applyAlignment="1">
      <alignment vertical="center" wrapText="1"/>
    </xf>
    <xf numFmtId="166" fontId="27" fillId="10" borderId="2" xfId="0" applyNumberFormat="1" applyFont="1" applyFill="1" applyBorder="1" applyAlignment="1">
      <alignment vertical="center" wrapText="1"/>
    </xf>
    <xf numFmtId="4" fontId="10" fillId="10" borderId="12" xfId="0" applyNumberFormat="1" applyFont="1" applyFill="1" applyBorder="1" applyAlignment="1">
      <alignment horizontal="center" vertical="center" wrapText="1"/>
    </xf>
    <xf numFmtId="4" fontId="10" fillId="10" borderId="13" xfId="0" applyNumberFormat="1" applyFont="1" applyFill="1" applyBorder="1" applyAlignment="1">
      <alignment horizontal="center" vertical="center" wrapText="1"/>
    </xf>
    <xf numFmtId="166" fontId="4" fillId="11" borderId="13" xfId="0" applyNumberFormat="1" applyFont="1" applyFill="1" applyBorder="1" applyAlignment="1">
      <alignment horizontal="center" vertical="center" wrapText="1"/>
    </xf>
    <xf numFmtId="166" fontId="10" fillId="11" borderId="13" xfId="0" applyNumberFormat="1" applyFont="1" applyFill="1" applyBorder="1" applyAlignment="1">
      <alignment horizontal="center" vertical="center" wrapText="1"/>
    </xf>
    <xf numFmtId="165" fontId="4" fillId="11" borderId="13" xfId="0" applyNumberFormat="1" applyFont="1" applyFill="1" applyBorder="1" applyAlignment="1">
      <alignment horizontal="center" vertical="center" wrapText="1"/>
    </xf>
    <xf numFmtId="4" fontId="4" fillId="11" borderId="13" xfId="0" applyNumberFormat="1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vertical="center"/>
    </xf>
    <xf numFmtId="4" fontId="15" fillId="10" borderId="2" xfId="0" applyNumberFormat="1" applyFont="1" applyFill="1" applyBorder="1" applyAlignment="1">
      <alignment vertical="center" wrapText="1"/>
    </xf>
    <xf numFmtId="4" fontId="4" fillId="10" borderId="45" xfId="0" applyNumberFormat="1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vertical="center" wrapText="1"/>
    </xf>
    <xf numFmtId="0" fontId="15" fillId="10" borderId="0" xfId="0" applyFont="1" applyFill="1"/>
    <xf numFmtId="0" fontId="15" fillId="11" borderId="2" xfId="0" applyFont="1" applyFill="1" applyBorder="1" applyAlignment="1">
      <alignment vertical="center" wrapText="1"/>
    </xf>
    <xf numFmtId="0" fontId="15" fillId="10" borderId="40" xfId="0" applyFont="1" applyFill="1" applyBorder="1" applyAlignment="1">
      <alignment vertical="center" wrapText="1"/>
    </xf>
    <xf numFmtId="0" fontId="15" fillId="10" borderId="45" xfId="0" applyFont="1" applyFill="1" applyBorder="1" applyAlignment="1">
      <alignment vertical="center" wrapText="1"/>
    </xf>
    <xf numFmtId="0" fontId="15" fillId="11" borderId="40" xfId="0" applyFont="1" applyFill="1" applyBorder="1" applyAlignment="1">
      <alignment vertical="center"/>
    </xf>
    <xf numFmtId="0" fontId="15" fillId="11" borderId="45" xfId="0" applyFont="1" applyFill="1" applyBorder="1" applyAlignment="1">
      <alignment vertical="center"/>
    </xf>
    <xf numFmtId="3" fontId="15" fillId="10" borderId="15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4" fontId="15" fillId="11" borderId="13" xfId="0" applyNumberFormat="1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horizontal="center" vertical="center" wrapText="1"/>
    </xf>
    <xf numFmtId="165" fontId="22" fillId="11" borderId="12" xfId="0" applyNumberFormat="1" applyFont="1" applyFill="1" applyBorder="1" applyAlignment="1">
      <alignment horizontal="center" vertical="center"/>
    </xf>
    <xf numFmtId="0" fontId="15" fillId="10" borderId="0" xfId="0" applyFont="1" applyFill="1" applyBorder="1"/>
    <xf numFmtId="0" fontId="15" fillId="10" borderId="2" xfId="0" applyFont="1" applyFill="1" applyBorder="1"/>
    <xf numFmtId="0" fontId="27" fillId="10" borderId="2" xfId="0" applyFont="1" applyFill="1" applyBorder="1" applyAlignment="1">
      <alignment horizontal="center" vertical="center" wrapText="1"/>
    </xf>
    <xf numFmtId="0" fontId="28" fillId="10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170" fontId="15" fillId="10" borderId="7" xfId="0" applyNumberFormat="1" applyFont="1" applyFill="1" applyBorder="1" applyAlignment="1">
      <alignment horizontal="center" vertical="center" wrapText="1"/>
    </xf>
    <xf numFmtId="2" fontId="15" fillId="10" borderId="5" xfId="0" applyNumberFormat="1" applyFont="1" applyFill="1" applyBorder="1" applyAlignment="1">
      <alignment horizontal="center" vertical="center" wrapText="1"/>
    </xf>
    <xf numFmtId="0" fontId="19" fillId="10" borderId="45" xfId="0" applyFont="1" applyFill="1" applyBorder="1" applyAlignment="1">
      <alignment horizontal="center" vertical="center" wrapText="1"/>
    </xf>
    <xf numFmtId="166" fontId="27" fillId="10" borderId="7" xfId="0" applyNumberFormat="1" applyFont="1" applyFill="1" applyBorder="1" applyAlignment="1">
      <alignment horizontal="center" vertical="center" wrapText="1"/>
    </xf>
    <xf numFmtId="2" fontId="15" fillId="10" borderId="11" xfId="0" applyNumberFormat="1" applyFont="1" applyFill="1" applyBorder="1" applyAlignment="1">
      <alignment horizontal="center" vertical="center" wrapText="1"/>
    </xf>
    <xf numFmtId="166" fontId="27" fillId="10" borderId="7" xfId="0" applyNumberFormat="1" applyFont="1" applyFill="1" applyBorder="1" applyAlignment="1">
      <alignment vertical="center" wrapText="1"/>
    </xf>
    <xf numFmtId="166" fontId="15" fillId="10" borderId="7" xfId="0" applyNumberFormat="1" applyFont="1" applyFill="1" applyBorder="1" applyAlignment="1">
      <alignment horizontal="center" vertical="center" wrapText="1"/>
    </xf>
    <xf numFmtId="166" fontId="27" fillId="10" borderId="12" xfId="0" applyNumberFormat="1" applyFont="1" applyFill="1" applyBorder="1" applyAlignment="1">
      <alignment vertical="center" wrapText="1"/>
    </xf>
    <xf numFmtId="166" fontId="15" fillId="10" borderId="11" xfId="0" applyNumberFormat="1" applyFont="1" applyFill="1" applyBorder="1" applyAlignment="1">
      <alignment horizontal="center" vertical="center" wrapText="1"/>
    </xf>
    <xf numFmtId="166" fontId="37" fillId="10" borderId="13" xfId="0" applyNumberFormat="1" applyFont="1" applyFill="1" applyBorder="1" applyAlignment="1">
      <alignment horizontal="left" vertical="center" wrapText="1"/>
    </xf>
    <xf numFmtId="171" fontId="18" fillId="10" borderId="13" xfId="0" applyNumberFormat="1" applyFont="1" applyFill="1" applyBorder="1" applyAlignment="1">
      <alignment horizontal="center" vertical="center" wrapText="1"/>
    </xf>
    <xf numFmtId="4" fontId="18" fillId="10" borderId="13" xfId="0" applyNumberFormat="1" applyFont="1" applyFill="1" applyBorder="1" applyAlignment="1">
      <alignment horizontal="center" vertical="center" wrapText="1"/>
    </xf>
    <xf numFmtId="166" fontId="33" fillId="11" borderId="12" xfId="0" applyNumberFormat="1" applyFont="1" applyFill="1" applyBorder="1" applyAlignment="1">
      <alignment vertical="center"/>
    </xf>
    <xf numFmtId="166" fontId="38" fillId="11" borderId="12" xfId="0" applyNumberFormat="1" applyFont="1" applyFill="1" applyBorder="1" applyAlignment="1">
      <alignment horizontal="center" vertical="center"/>
    </xf>
    <xf numFmtId="166" fontId="38" fillId="11" borderId="4" xfId="0" applyNumberFormat="1" applyFont="1" applyFill="1" applyBorder="1" applyAlignment="1">
      <alignment vertical="center"/>
    </xf>
    <xf numFmtId="166" fontId="38" fillId="11" borderId="14" xfId="0" applyNumberFormat="1" applyFont="1" applyFill="1" applyBorder="1" applyAlignment="1">
      <alignment vertical="center"/>
    </xf>
    <xf numFmtId="166" fontId="38" fillId="11" borderId="5" xfId="0" applyNumberFormat="1" applyFont="1" applyFill="1" applyBorder="1" applyAlignment="1">
      <alignment vertical="center"/>
    </xf>
    <xf numFmtId="166" fontId="38" fillId="11" borderId="12" xfId="0" applyNumberFormat="1" applyFont="1" applyFill="1" applyBorder="1" applyAlignment="1">
      <alignment vertical="center"/>
    </xf>
    <xf numFmtId="166" fontId="38" fillId="11" borderId="2" xfId="0" applyNumberFormat="1" applyFont="1" applyFill="1" applyBorder="1" applyAlignment="1">
      <alignment vertical="center"/>
    </xf>
    <xf numFmtId="166" fontId="39" fillId="10" borderId="13" xfId="0" applyNumberFormat="1" applyFont="1" applyFill="1" applyBorder="1" applyAlignment="1">
      <alignment horizontal="left" vertical="center" wrapText="1"/>
    </xf>
    <xf numFmtId="166" fontId="39" fillId="10" borderId="13" xfId="0" applyNumberFormat="1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5" fillId="11" borderId="2" xfId="0" applyNumberFormat="1" applyFont="1" applyFill="1" applyBorder="1" applyAlignment="1">
      <alignment vertical="center"/>
    </xf>
    <xf numFmtId="0" fontId="15" fillId="0" borderId="0" xfId="0" applyFont="1" applyBorder="1"/>
    <xf numFmtId="0" fontId="15" fillId="11" borderId="13" xfId="0" applyFont="1" applyFill="1" applyBorder="1" applyAlignment="1">
      <alignment vertical="center" wrapText="1"/>
    </xf>
    <xf numFmtId="166" fontId="17" fillId="10" borderId="12" xfId="0" applyNumberFormat="1" applyFont="1" applyFill="1" applyBorder="1" applyAlignment="1">
      <alignment horizontal="center" vertical="center" wrapText="1"/>
    </xf>
    <xf numFmtId="166" fontId="17" fillId="10" borderId="15" xfId="0" applyNumberFormat="1" applyFont="1" applyFill="1" applyBorder="1" applyAlignment="1">
      <alignment horizontal="center" vertical="center"/>
    </xf>
    <xf numFmtId="166" fontId="37" fillId="10" borderId="15" xfId="0" applyNumberFormat="1" applyFont="1" applyFill="1" applyBorder="1" applyAlignment="1">
      <alignment horizontal="left" vertical="center" wrapText="1"/>
    </xf>
    <xf numFmtId="166" fontId="18" fillId="10" borderId="15" xfId="0" applyNumberFormat="1" applyFont="1" applyFill="1" applyBorder="1" applyAlignment="1">
      <alignment horizontal="center" vertical="center" wrapText="1"/>
    </xf>
    <xf numFmtId="165" fontId="18" fillId="10" borderId="15" xfId="0" applyNumberFormat="1" applyFont="1" applyFill="1" applyBorder="1" applyAlignment="1">
      <alignment horizontal="center" vertical="center" wrapText="1"/>
    </xf>
    <xf numFmtId="4" fontId="18" fillId="11" borderId="15" xfId="0" applyNumberFormat="1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vertical="center" wrapText="1"/>
    </xf>
    <xf numFmtId="164" fontId="15" fillId="11" borderId="40" xfId="0" applyNumberFormat="1" applyFont="1" applyFill="1" applyBorder="1" applyAlignment="1">
      <alignment horizontal="center" vertical="center"/>
    </xf>
    <xf numFmtId="2" fontId="15" fillId="11" borderId="45" xfId="0" applyNumberFormat="1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left" vertical="center" wrapText="1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 vertical="center" wrapText="1"/>
    </xf>
    <xf numFmtId="165" fontId="4" fillId="11" borderId="11" xfId="0" applyNumberFormat="1" applyFont="1" applyFill="1" applyBorder="1" applyAlignment="1">
      <alignment horizontal="center" vertical="center" wrapText="1"/>
    </xf>
    <xf numFmtId="3" fontId="18" fillId="11" borderId="12" xfId="0" applyNumberFormat="1" applyFont="1" applyFill="1" applyBorder="1" applyAlignment="1">
      <alignment horizontal="center" vertical="center" wrapText="1"/>
    </xf>
    <xf numFmtId="166" fontId="18" fillId="11" borderId="12" xfId="0" applyNumberFormat="1" applyFont="1" applyFill="1" applyBorder="1" applyAlignment="1">
      <alignment horizontal="center" vertical="center" wrapText="1"/>
    </xf>
    <xf numFmtId="166" fontId="18" fillId="11" borderId="15" xfId="0" applyNumberFormat="1" applyFont="1" applyFill="1" applyBorder="1" applyAlignment="1">
      <alignment horizontal="center" vertical="center" wrapText="1"/>
    </xf>
    <xf numFmtId="165" fontId="18" fillId="11" borderId="15" xfId="0" applyNumberFormat="1" applyFont="1" applyFill="1" applyBorder="1" applyAlignment="1">
      <alignment horizontal="center" vertical="center" wrapText="1"/>
    </xf>
    <xf numFmtId="166" fontId="4" fillId="11" borderId="40" xfId="0" applyNumberFormat="1" applyFont="1" applyFill="1" applyBorder="1" applyAlignment="1">
      <alignment horizontal="center" vertical="center" wrapText="1"/>
    </xf>
    <xf numFmtId="4" fontId="4" fillId="11" borderId="40" xfId="0" applyNumberFormat="1" applyFont="1" applyFill="1" applyBorder="1" applyAlignment="1">
      <alignment horizontal="center" vertical="center" wrapText="1"/>
    </xf>
    <xf numFmtId="166" fontId="10" fillId="11" borderId="40" xfId="0" applyNumberFormat="1" applyFont="1" applyFill="1" applyBorder="1" applyAlignment="1">
      <alignment horizontal="center" vertical="center" wrapText="1"/>
    </xf>
    <xf numFmtId="3" fontId="10" fillId="11" borderId="40" xfId="0" applyNumberFormat="1" applyFont="1" applyFill="1" applyBorder="1" applyAlignment="1">
      <alignment horizontal="center" vertical="center" wrapText="1"/>
    </xf>
    <xf numFmtId="165" fontId="4" fillId="11" borderId="40" xfId="0" applyNumberFormat="1" applyFont="1" applyFill="1" applyBorder="1" applyAlignment="1">
      <alignment horizontal="center" vertical="center" wrapText="1"/>
    </xf>
    <xf numFmtId="166" fontId="4" fillId="11" borderId="44" xfId="0" applyNumberFormat="1" applyFont="1" applyFill="1" applyBorder="1" applyAlignment="1">
      <alignment horizontal="center" vertical="center" wrapText="1"/>
    </xf>
    <xf numFmtId="4" fontId="4" fillId="11" borderId="44" xfId="0" applyNumberFormat="1" applyFont="1" applyFill="1" applyBorder="1" applyAlignment="1">
      <alignment horizontal="center" vertical="center" wrapText="1"/>
    </xf>
    <xf numFmtId="166" fontId="10" fillId="11" borderId="44" xfId="0" applyNumberFormat="1" applyFont="1" applyFill="1" applyBorder="1" applyAlignment="1">
      <alignment horizontal="center" vertical="center" wrapText="1"/>
    </xf>
    <xf numFmtId="3" fontId="10" fillId="11" borderId="45" xfId="0" applyNumberFormat="1" applyFont="1" applyFill="1" applyBorder="1" applyAlignment="1">
      <alignment horizontal="center" vertical="center" wrapText="1"/>
    </xf>
    <xf numFmtId="166" fontId="4" fillId="11" borderId="45" xfId="0" applyNumberFormat="1" applyFont="1" applyFill="1" applyBorder="1" applyAlignment="1">
      <alignment horizontal="center" vertical="center" wrapText="1"/>
    </xf>
    <xf numFmtId="165" fontId="4" fillId="11" borderId="44" xfId="0" applyNumberFormat="1" applyFont="1" applyFill="1" applyBorder="1" applyAlignment="1">
      <alignment horizontal="center" vertical="center" wrapText="1"/>
    </xf>
    <xf numFmtId="166" fontId="37" fillId="10" borderId="12" xfId="0" applyNumberFormat="1" applyFont="1" applyFill="1" applyBorder="1" applyAlignment="1">
      <alignment horizontal="left" vertical="center" wrapText="1"/>
    </xf>
    <xf numFmtId="0" fontId="19" fillId="11" borderId="40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 wrapText="1"/>
    </xf>
    <xf numFmtId="0" fontId="19" fillId="11" borderId="45" xfId="0" applyFont="1" applyFill="1" applyBorder="1" applyAlignment="1">
      <alignment horizontal="center" vertical="center"/>
    </xf>
    <xf numFmtId="166" fontId="18" fillId="11" borderId="11" xfId="0" applyNumberFormat="1" applyFont="1" applyFill="1" applyBorder="1" applyAlignment="1">
      <alignment horizontal="center" vertical="center" wrapText="1"/>
    </xf>
    <xf numFmtId="3" fontId="18" fillId="11" borderId="13" xfId="0" applyNumberFormat="1" applyFont="1" applyFill="1" applyBorder="1" applyAlignment="1">
      <alignment horizontal="center" vertical="center" wrapText="1"/>
    </xf>
    <xf numFmtId="166" fontId="18" fillId="11" borderId="40" xfId="0" applyNumberFormat="1" applyFont="1" applyFill="1" applyBorder="1" applyAlignment="1">
      <alignment horizontal="center" vertical="center" wrapText="1"/>
    </xf>
    <xf numFmtId="166" fontId="18" fillId="11" borderId="44" xfId="0" applyNumberFormat="1" applyFont="1" applyFill="1" applyBorder="1" applyAlignment="1">
      <alignment horizontal="center" vertical="center" wrapText="1"/>
    </xf>
    <xf numFmtId="4" fontId="18" fillId="11" borderId="44" xfId="0" applyNumberFormat="1" applyFont="1" applyFill="1" applyBorder="1" applyAlignment="1">
      <alignment horizontal="center" vertical="center" wrapText="1"/>
    </xf>
    <xf numFmtId="3" fontId="18" fillId="11" borderId="45" xfId="0" applyNumberFormat="1" applyFont="1" applyFill="1" applyBorder="1" applyAlignment="1">
      <alignment horizontal="center" vertical="center" wrapText="1"/>
    </xf>
    <xf numFmtId="166" fontId="18" fillId="11" borderId="45" xfId="0" applyNumberFormat="1" applyFont="1" applyFill="1" applyBorder="1" applyAlignment="1">
      <alignment horizontal="center" vertical="center" wrapText="1"/>
    </xf>
    <xf numFmtId="165" fontId="18" fillId="11" borderId="44" xfId="0" applyNumberFormat="1" applyFont="1" applyFill="1" applyBorder="1" applyAlignment="1">
      <alignment horizontal="center" vertical="center" wrapText="1"/>
    </xf>
    <xf numFmtId="166" fontId="17" fillId="11" borderId="11" xfId="0" applyNumberFormat="1" applyFont="1" applyFill="1" applyBorder="1" applyAlignment="1">
      <alignment horizontal="center" vertical="center" wrapText="1"/>
    </xf>
    <xf numFmtId="166" fontId="17" fillId="11" borderId="40" xfId="0" applyNumberFormat="1" applyFont="1" applyFill="1" applyBorder="1" applyAlignment="1">
      <alignment horizontal="center" vertical="center" wrapText="1"/>
    </xf>
    <xf numFmtId="4" fontId="17" fillId="11" borderId="40" xfId="0" applyNumberFormat="1" applyFont="1" applyFill="1" applyBorder="1" applyAlignment="1">
      <alignment horizontal="center" vertical="center" wrapText="1"/>
    </xf>
    <xf numFmtId="3" fontId="17" fillId="11" borderId="40" xfId="0" applyNumberFormat="1" applyFont="1" applyFill="1" applyBorder="1" applyAlignment="1">
      <alignment horizontal="center" vertical="center" wrapText="1"/>
    </xf>
    <xf numFmtId="165" fontId="17" fillId="11" borderId="40" xfId="0" applyNumberFormat="1" applyFont="1" applyFill="1" applyBorder="1" applyAlignment="1">
      <alignment horizontal="center" vertical="center" wrapText="1"/>
    </xf>
    <xf numFmtId="164" fontId="15" fillId="10" borderId="68" xfId="6" applyNumberFormat="1" applyFont="1" applyFill="1" applyBorder="1" applyAlignment="1">
      <alignment horizontal="center" vertical="center" wrapText="1"/>
    </xf>
    <xf numFmtId="0" fontId="15" fillId="10" borderId="68" xfId="6" applyFont="1" applyFill="1" applyBorder="1" applyAlignment="1">
      <alignment horizontal="center" vertical="center" wrapText="1"/>
    </xf>
    <xf numFmtId="166" fontId="17" fillId="11" borderId="44" xfId="0" applyNumberFormat="1" applyFont="1" applyFill="1" applyBorder="1" applyAlignment="1">
      <alignment horizontal="center" vertical="center" wrapText="1"/>
    </xf>
    <xf numFmtId="4" fontId="17" fillId="11" borderId="44" xfId="0" applyNumberFormat="1" applyFont="1" applyFill="1" applyBorder="1" applyAlignment="1">
      <alignment horizontal="center" vertical="center" wrapText="1"/>
    </xf>
    <xf numFmtId="3" fontId="17" fillId="11" borderId="45" xfId="0" applyNumberFormat="1" applyFont="1" applyFill="1" applyBorder="1" applyAlignment="1">
      <alignment horizontal="center" vertical="center" wrapText="1"/>
    </xf>
    <xf numFmtId="166" fontId="17" fillId="11" borderId="45" xfId="0" applyNumberFormat="1" applyFont="1" applyFill="1" applyBorder="1" applyAlignment="1">
      <alignment horizontal="center" vertical="center" wrapText="1"/>
    </xf>
    <xf numFmtId="165" fontId="17" fillId="11" borderId="44" xfId="0" applyNumberFormat="1" applyFont="1" applyFill="1" applyBorder="1" applyAlignment="1">
      <alignment horizontal="center" vertical="center" wrapText="1"/>
    </xf>
    <xf numFmtId="0" fontId="15" fillId="10" borderId="70" xfId="6" applyFont="1" applyFill="1" applyBorder="1" applyAlignment="1">
      <alignment horizontal="center" vertical="center" wrapText="1"/>
    </xf>
    <xf numFmtId="2" fontId="15" fillId="10" borderId="68" xfId="6" applyNumberFormat="1" applyFont="1" applyFill="1" applyBorder="1" applyAlignment="1">
      <alignment horizontal="center" vertical="center" wrapText="1"/>
    </xf>
    <xf numFmtId="2" fontId="15" fillId="10" borderId="70" xfId="6" applyNumberFormat="1" applyFont="1" applyFill="1" applyBorder="1" applyAlignment="1">
      <alignment horizontal="center" vertical="center" wrapText="1"/>
    </xf>
    <xf numFmtId="167" fontId="15" fillId="11" borderId="2" xfId="0" applyNumberFormat="1" applyFont="1" applyFill="1" applyBorder="1" applyAlignment="1">
      <alignment horizontal="center" vertical="center"/>
    </xf>
    <xf numFmtId="4" fontId="27" fillId="10" borderId="45" xfId="0" applyNumberFormat="1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8" fillId="11" borderId="2" xfId="0" applyNumberFormat="1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wrapText="1"/>
    </xf>
    <xf numFmtId="166" fontId="15" fillId="11" borderId="2" xfId="0" applyNumberFormat="1" applyFont="1" applyFill="1" applyBorder="1" applyAlignment="1">
      <alignment vertical="center" wrapText="1"/>
    </xf>
    <xf numFmtId="165" fontId="15" fillId="11" borderId="2" xfId="0" applyNumberFormat="1" applyFont="1" applyFill="1" applyBorder="1" applyAlignment="1">
      <alignment vertical="center" wrapText="1"/>
    </xf>
    <xf numFmtId="171" fontId="15" fillId="11" borderId="2" xfId="0" applyNumberFormat="1" applyFont="1" applyFill="1" applyBorder="1" applyAlignment="1">
      <alignment vertical="center"/>
    </xf>
    <xf numFmtId="4" fontId="15" fillId="11" borderId="2" xfId="0" applyNumberFormat="1" applyFont="1" applyFill="1" applyBorder="1" applyAlignment="1">
      <alignment vertical="center" wrapText="1"/>
    </xf>
    <xf numFmtId="166" fontId="40" fillId="11" borderId="13" xfId="0" applyNumberFormat="1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wrapText="1"/>
    </xf>
    <xf numFmtId="3" fontId="10" fillId="10" borderId="13" xfId="0" applyNumberFormat="1" applyFont="1" applyFill="1" applyBorder="1" applyAlignment="1">
      <alignment horizontal="center" vertical="center" wrapText="1"/>
    </xf>
    <xf numFmtId="1" fontId="15" fillId="11" borderId="12" xfId="0" applyNumberFormat="1" applyFont="1" applyFill="1" applyBorder="1" applyAlignment="1">
      <alignment horizontal="center" vertical="center"/>
    </xf>
    <xf numFmtId="4" fontId="35" fillId="10" borderId="2" xfId="0" applyNumberFormat="1" applyFont="1" applyFill="1" applyBorder="1" applyAlignment="1">
      <alignment horizontal="center" vertical="center" wrapText="1"/>
    </xf>
    <xf numFmtId="166" fontId="10" fillId="10" borderId="11" xfId="0" applyNumberFormat="1" applyFont="1" applyFill="1" applyBorder="1" applyAlignment="1">
      <alignment horizontal="center" vertical="center" wrapText="1"/>
    </xf>
    <xf numFmtId="2" fontId="15" fillId="11" borderId="12" xfId="0" applyNumberFormat="1" applyFont="1" applyFill="1" applyBorder="1" applyAlignment="1">
      <alignment horizontal="center" vertical="center" wrapText="1"/>
    </xf>
    <xf numFmtId="166" fontId="27" fillId="10" borderId="15" xfId="0" applyNumberFormat="1" applyFont="1" applyFill="1" applyBorder="1" applyAlignment="1">
      <alignment vertical="center" wrapText="1"/>
    </xf>
    <xf numFmtId="4" fontId="27" fillId="10" borderId="8" xfId="0" applyNumberFormat="1" applyFont="1" applyFill="1" applyBorder="1" applyAlignment="1">
      <alignment horizontal="center" vertical="center" wrapText="1"/>
    </xf>
    <xf numFmtId="166" fontId="15" fillId="10" borderId="9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36" fillId="10" borderId="15" xfId="0" applyFont="1" applyFill="1" applyBorder="1" applyAlignment="1">
      <alignment horizontal="center" vertical="center" wrapText="1"/>
    </xf>
    <xf numFmtId="166" fontId="4" fillId="7" borderId="2" xfId="0" applyNumberFormat="1" applyFont="1" applyFill="1" applyBorder="1" applyAlignment="1">
      <alignment horizontal="center" vertical="center" wrapText="1"/>
    </xf>
    <xf numFmtId="166" fontId="12" fillId="10" borderId="12" xfId="0" applyNumberFormat="1" applyFont="1" applyFill="1" applyBorder="1" applyAlignment="1">
      <alignment horizontal="center" vertical="center" wrapText="1"/>
    </xf>
    <xf numFmtId="4" fontId="17" fillId="10" borderId="12" xfId="0" applyNumberFormat="1" applyFont="1" applyFill="1" applyBorder="1" applyAlignment="1">
      <alignment horizontal="center" vertical="center" wrapText="1"/>
    </xf>
    <xf numFmtId="1" fontId="11" fillId="10" borderId="2" xfId="0" applyNumberFormat="1" applyFont="1" applyFill="1" applyBorder="1" applyAlignment="1">
      <alignment horizontal="center" vertical="center" wrapText="1"/>
    </xf>
    <xf numFmtId="166" fontId="18" fillId="11" borderId="8" xfId="0" applyNumberFormat="1" applyFont="1" applyFill="1" applyBorder="1" applyAlignment="1">
      <alignment horizontal="center" vertical="center" wrapText="1"/>
    </xf>
    <xf numFmtId="169" fontId="4" fillId="10" borderId="13" xfId="0" applyNumberFormat="1" applyFont="1" applyFill="1" applyBorder="1" applyAlignment="1">
      <alignment vertical="center" wrapText="1"/>
    </xf>
    <xf numFmtId="2" fontId="4" fillId="11" borderId="2" xfId="0" applyNumberFormat="1" applyFont="1" applyFill="1" applyBorder="1" applyAlignment="1">
      <alignment vertical="center" wrapText="1"/>
    </xf>
    <xf numFmtId="0" fontId="6" fillId="10" borderId="13" xfId="0" applyFont="1" applyFill="1" applyBorder="1" applyAlignment="1">
      <alignment vertical="center" wrapText="1"/>
    </xf>
    <xf numFmtId="0" fontId="30" fillId="10" borderId="45" xfId="0" applyFont="1" applyFill="1" applyBorder="1" applyAlignment="1">
      <alignment horizontal="center" vertical="center" wrapText="1"/>
    </xf>
    <xf numFmtId="164" fontId="11" fillId="10" borderId="40" xfId="0" applyNumberFormat="1" applyFont="1" applyFill="1" applyBorder="1" applyAlignment="1">
      <alignment horizontal="center" vertical="center" wrapText="1"/>
    </xf>
    <xf numFmtId="2" fontId="11" fillId="11" borderId="12" xfId="0" applyNumberFormat="1" applyFont="1" applyFill="1" applyBorder="1" applyAlignment="1">
      <alignment horizontal="center" vertical="center" wrapText="1"/>
    </xf>
    <xf numFmtId="3" fontId="11" fillId="11" borderId="72" xfId="0" applyNumberFormat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167" fontId="11" fillId="10" borderId="2" xfId="0" applyNumberFormat="1" applyFont="1" applyFill="1" applyBorder="1" applyAlignment="1">
      <alignment horizontal="center" vertical="center" wrapText="1"/>
    </xf>
    <xf numFmtId="2" fontId="11" fillId="11" borderId="2" xfId="0" applyNumberFormat="1" applyFont="1" applyFill="1" applyBorder="1" applyAlignment="1">
      <alignment horizontal="center" vertical="center" wrapText="1"/>
    </xf>
    <xf numFmtId="169" fontId="11" fillId="10" borderId="42" xfId="0" applyNumberFormat="1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vertical="center" wrapText="1"/>
    </xf>
    <xf numFmtId="1" fontId="15" fillId="10" borderId="40" xfId="0" applyNumberFormat="1" applyFont="1" applyFill="1" applyBorder="1" applyAlignment="1">
      <alignment horizontal="center" vertical="center" wrapText="1"/>
    </xf>
    <xf numFmtId="167" fontId="30" fillId="10" borderId="2" xfId="0" applyNumberFormat="1" applyFont="1" applyFill="1" applyBorder="1" applyAlignment="1">
      <alignment horizontal="center" vertical="center" wrapText="1"/>
    </xf>
    <xf numFmtId="166" fontId="27" fillId="10" borderId="12" xfId="0" applyNumberFormat="1" applyFont="1" applyFill="1" applyBorder="1" applyAlignment="1">
      <alignment horizontal="center" vertical="center" wrapText="1"/>
    </xf>
    <xf numFmtId="166" fontId="27" fillId="10" borderId="13" xfId="0" applyNumberFormat="1" applyFont="1" applyFill="1" applyBorder="1" applyAlignment="1">
      <alignment horizontal="center" vertical="center" wrapText="1"/>
    </xf>
    <xf numFmtId="165" fontId="15" fillId="10" borderId="40" xfId="0" applyNumberFormat="1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>
      <alignment horizontal="center" vertical="center" wrapText="1"/>
    </xf>
    <xf numFmtId="166" fontId="27" fillId="10" borderId="40" xfId="0" applyNumberFormat="1" applyFont="1" applyFill="1" applyBorder="1" applyAlignment="1">
      <alignment horizontal="center" vertical="center" wrapText="1"/>
    </xf>
    <xf numFmtId="166" fontId="27" fillId="10" borderId="45" xfId="0" applyNumberFormat="1" applyFont="1" applyFill="1" applyBorder="1" applyAlignment="1">
      <alignment horizontal="center" vertical="center" wrapText="1"/>
    </xf>
    <xf numFmtId="166" fontId="17" fillId="10" borderId="2" xfId="0" applyNumberFormat="1" applyFont="1" applyFill="1" applyBorder="1" applyAlignment="1">
      <alignment horizontal="center" vertical="center" wrapText="1"/>
    </xf>
    <xf numFmtId="165" fontId="17" fillId="10" borderId="2" xfId="0" applyNumberFormat="1" applyFont="1" applyFill="1" applyBorder="1" applyAlignment="1">
      <alignment horizontal="center" vertical="center" wrapText="1"/>
    </xf>
    <xf numFmtId="166" fontId="42" fillId="10" borderId="13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171" fontId="27" fillId="10" borderId="13" xfId="0" applyNumberFormat="1" applyFont="1" applyFill="1" applyBorder="1" applyAlignment="1">
      <alignment horizontal="center" vertical="center" wrapText="1"/>
    </xf>
    <xf numFmtId="4" fontId="36" fillId="10" borderId="2" xfId="0" applyNumberFormat="1" applyFont="1" applyFill="1" applyBorder="1" applyAlignment="1">
      <alignment horizontal="center" vertical="center" wrapText="1"/>
    </xf>
    <xf numFmtId="4" fontId="15" fillId="11" borderId="47" xfId="0" applyNumberFormat="1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vertical="center" wrapText="1"/>
    </xf>
    <xf numFmtId="0" fontId="15" fillId="11" borderId="12" xfId="0" applyFont="1" applyFill="1" applyBorder="1" applyAlignment="1">
      <alignment vertical="center" wrapText="1"/>
    </xf>
    <xf numFmtId="2" fontId="15" fillId="10" borderId="2" xfId="0" applyNumberFormat="1" applyFont="1" applyFill="1" applyBorder="1" applyAlignment="1">
      <alignment vertical="center" wrapText="1"/>
    </xf>
    <xf numFmtId="0" fontId="43" fillId="0" borderId="0" xfId="0" applyFont="1"/>
    <xf numFmtId="166" fontId="15" fillId="10" borderId="2" xfId="0" applyNumberFormat="1" applyFont="1" applyFill="1" applyBorder="1" applyAlignment="1">
      <alignment vertical="center" wrapText="1"/>
    </xf>
    <xf numFmtId="166" fontId="4" fillId="10" borderId="13" xfId="0" applyNumberFormat="1" applyFont="1" applyFill="1" applyBorder="1" applyAlignment="1">
      <alignment horizontal="center" vertical="center" wrapText="1"/>
    </xf>
    <xf numFmtId="164" fontId="30" fillId="10" borderId="40" xfId="0" applyNumberFormat="1" applyFont="1" applyFill="1" applyBorder="1" applyAlignment="1">
      <alignment horizontal="center" vertical="center" wrapText="1"/>
    </xf>
    <xf numFmtId="166" fontId="12" fillId="10" borderId="2" xfId="0" applyNumberFormat="1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vertical="center" wrapText="1"/>
    </xf>
    <xf numFmtId="166" fontId="15" fillId="4" borderId="2" xfId="0" applyNumberFormat="1" applyFont="1" applyFill="1" applyBorder="1" applyAlignment="1">
      <alignment horizontal="center" vertical="center" wrapText="1"/>
    </xf>
    <xf numFmtId="171" fontId="15" fillId="10" borderId="13" xfId="0" applyNumberFormat="1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vertical="center" wrapText="1"/>
    </xf>
    <xf numFmtId="0" fontId="22" fillId="10" borderId="5" xfId="0" applyFont="1" applyFill="1" applyBorder="1" applyAlignment="1">
      <alignment vertical="center" wrapText="1"/>
    </xf>
    <xf numFmtId="166" fontId="22" fillId="10" borderId="2" xfId="0" applyNumberFormat="1" applyFont="1" applyFill="1" applyBorder="1" applyAlignment="1">
      <alignment horizontal="center" vertical="center" wrapText="1"/>
    </xf>
    <xf numFmtId="165" fontId="22" fillId="10" borderId="2" xfId="0" applyNumberFormat="1" applyFont="1" applyFill="1" applyBorder="1" applyAlignment="1">
      <alignment vertical="center" wrapText="1"/>
    </xf>
    <xf numFmtId="4" fontId="22" fillId="10" borderId="12" xfId="0" applyNumberFormat="1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vertical="center" wrapText="1"/>
    </xf>
    <xf numFmtId="165" fontId="22" fillId="10" borderId="2" xfId="0" applyNumberFormat="1" applyFont="1" applyFill="1" applyBorder="1" applyAlignment="1">
      <alignment horizontal="center" vertical="center" wrapText="1"/>
    </xf>
    <xf numFmtId="165" fontId="19" fillId="10" borderId="2" xfId="0" applyNumberFormat="1" applyFont="1" applyFill="1" applyBorder="1" applyAlignment="1">
      <alignment horizontal="center" vertical="center" wrapText="1"/>
    </xf>
    <xf numFmtId="165" fontId="22" fillId="10" borderId="12" xfId="0" applyNumberFormat="1" applyFont="1" applyFill="1" applyBorder="1" applyAlignment="1">
      <alignment horizontal="center" vertical="center" wrapText="1"/>
    </xf>
    <xf numFmtId="0" fontId="19" fillId="10" borderId="0" xfId="0" applyFont="1" applyFill="1" applyBorder="1"/>
    <xf numFmtId="0" fontId="19" fillId="10" borderId="0" xfId="0" applyFont="1" applyFill="1"/>
    <xf numFmtId="0" fontId="4" fillId="4" borderId="13" xfId="0" applyFont="1" applyFill="1" applyBorder="1"/>
    <xf numFmtId="0" fontId="19" fillId="10" borderId="2" xfId="0" applyFont="1" applyFill="1" applyBorder="1"/>
    <xf numFmtId="0" fontId="15" fillId="11" borderId="12" xfId="0" applyFont="1" applyFill="1" applyBorder="1" applyAlignment="1">
      <alignment vertical="center"/>
    </xf>
    <xf numFmtId="4" fontId="38" fillId="11" borderId="12" xfId="0" applyNumberFormat="1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vertical="center" wrapText="1"/>
    </xf>
    <xf numFmtId="0" fontId="19" fillId="10" borderId="45" xfId="0" applyFont="1" applyFill="1" applyBorder="1" applyAlignment="1">
      <alignment horizontal="left" vertical="center" wrapText="1"/>
    </xf>
    <xf numFmtId="0" fontId="6" fillId="4" borderId="12" xfId="0" applyFont="1" applyFill="1" applyBorder="1"/>
    <xf numFmtId="0" fontId="20" fillId="10" borderId="2" xfId="0" applyFont="1" applyFill="1" applyBorder="1" applyAlignment="1">
      <alignment vertical="center" wrapText="1"/>
    </xf>
    <xf numFmtId="172" fontId="15" fillId="10" borderId="12" xfId="0" applyNumberFormat="1" applyFont="1" applyFill="1" applyBorder="1" applyAlignment="1">
      <alignment horizontal="center" vertical="center" wrapText="1"/>
    </xf>
    <xf numFmtId="172" fontId="15" fillId="10" borderId="2" xfId="0" applyNumberFormat="1" applyFont="1" applyFill="1" applyBorder="1" applyAlignment="1">
      <alignment horizontal="center" vertical="center" wrapText="1"/>
    </xf>
    <xf numFmtId="165" fontId="17" fillId="10" borderId="12" xfId="0" applyNumberFormat="1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4" fontId="27" fillId="10" borderId="2" xfId="0" applyNumberFormat="1" applyFont="1" applyFill="1" applyBorder="1" applyAlignment="1">
      <alignment vertical="center" wrapText="1"/>
    </xf>
    <xf numFmtId="1" fontId="15" fillId="4" borderId="2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center" vertical="center" wrapText="1"/>
    </xf>
    <xf numFmtId="166" fontId="18" fillId="4" borderId="0" xfId="0" applyNumberFormat="1" applyFont="1" applyFill="1" applyAlignment="1">
      <alignment horizontal="center" vertical="center" wrapText="1"/>
    </xf>
    <xf numFmtId="0" fontId="4" fillId="11" borderId="12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vertical="center" wrapText="1"/>
    </xf>
    <xf numFmtId="169" fontId="4" fillId="10" borderId="12" xfId="0" applyNumberFormat="1" applyFont="1" applyFill="1" applyBorder="1" applyAlignment="1">
      <alignment vertical="center" wrapText="1"/>
    </xf>
    <xf numFmtId="3" fontId="18" fillId="11" borderId="15" xfId="0" applyNumberFormat="1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vertical="center" wrapText="1"/>
    </xf>
    <xf numFmtId="0" fontId="6" fillId="10" borderId="15" xfId="0" applyFont="1" applyFill="1" applyBorder="1" applyAlignment="1">
      <alignment vertical="center" wrapText="1"/>
    </xf>
    <xf numFmtId="169" fontId="4" fillId="10" borderId="15" xfId="0" applyNumberFormat="1" applyFont="1" applyFill="1" applyBorder="1" applyAlignment="1">
      <alignment vertical="center" wrapText="1"/>
    </xf>
    <xf numFmtId="173" fontId="4" fillId="10" borderId="2" xfId="0" applyNumberFormat="1" applyFont="1" applyFill="1" applyBorder="1" applyAlignment="1">
      <alignment vertical="center" wrapText="1"/>
    </xf>
    <xf numFmtId="173" fontId="6" fillId="10" borderId="2" xfId="0" applyNumberFormat="1" applyFont="1" applyFill="1" applyBorder="1" applyAlignment="1">
      <alignment vertical="center" wrapText="1"/>
    </xf>
    <xf numFmtId="4" fontId="15" fillId="11" borderId="58" xfId="0" applyNumberFormat="1" applyFont="1" applyFill="1" applyBorder="1" applyAlignment="1">
      <alignment horizontal="center" vertical="center" wrapText="1"/>
    </xf>
    <xf numFmtId="4" fontId="19" fillId="10" borderId="2" xfId="0" applyNumberFormat="1" applyFont="1" applyFill="1" applyBorder="1" applyAlignment="1">
      <alignment vertical="center" wrapText="1"/>
    </xf>
    <xf numFmtId="4" fontId="27" fillId="10" borderId="78" xfId="0" applyNumberFormat="1" applyFont="1" applyFill="1" applyBorder="1" applyAlignment="1">
      <alignment horizontal="center" vertical="center" wrapText="1"/>
    </xf>
    <xf numFmtId="4" fontId="15" fillId="10" borderId="78" xfId="0" applyNumberFormat="1" applyFont="1" applyFill="1" applyBorder="1" applyAlignment="1">
      <alignment horizontal="center" vertical="center" wrapText="1"/>
    </xf>
    <xf numFmtId="166" fontId="15" fillId="15" borderId="9" xfId="0" applyNumberFormat="1" applyFont="1" applyFill="1" applyBorder="1" applyAlignment="1">
      <alignment horizontal="center" vertical="center" wrapText="1"/>
    </xf>
    <xf numFmtId="166" fontId="15" fillId="10" borderId="12" xfId="0" applyNumberFormat="1" applyFont="1" applyFill="1" applyBorder="1" applyAlignment="1">
      <alignment vertical="center" wrapText="1"/>
    </xf>
    <xf numFmtId="4" fontId="27" fillId="10" borderId="12" xfId="0" applyNumberFormat="1" applyFont="1" applyFill="1" applyBorder="1" applyAlignment="1">
      <alignment vertical="center" wrapText="1"/>
    </xf>
    <xf numFmtId="165" fontId="27" fillId="10" borderId="12" xfId="0" applyNumberFormat="1" applyFont="1" applyFill="1" applyBorder="1" applyAlignment="1">
      <alignment horizontal="center" vertical="center" wrapText="1"/>
    </xf>
    <xf numFmtId="165" fontId="27" fillId="10" borderId="2" xfId="0" applyNumberFormat="1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left" vertical="center" wrapText="1"/>
    </xf>
    <xf numFmtId="0" fontId="27" fillId="10" borderId="2" xfId="0" applyFont="1" applyFill="1" applyBorder="1" applyAlignment="1">
      <alignment vertical="center" wrapText="1"/>
    </xf>
    <xf numFmtId="0" fontId="27" fillId="10" borderId="2" xfId="0" applyFont="1" applyFill="1" applyBorder="1" applyAlignment="1">
      <alignment horizontal="left" vertical="center" wrapText="1"/>
    </xf>
    <xf numFmtId="0" fontId="32" fillId="10" borderId="45" xfId="0" applyFont="1" applyFill="1" applyBorder="1" applyAlignment="1">
      <alignment horizontal="center" vertical="center" wrapText="1"/>
    </xf>
    <xf numFmtId="167" fontId="15" fillId="11" borderId="7" xfId="0" applyNumberFormat="1" applyFont="1" applyFill="1" applyBorder="1" applyAlignment="1">
      <alignment horizontal="center" vertical="center"/>
    </xf>
    <xf numFmtId="165" fontId="15" fillId="11" borderId="14" xfId="0" applyNumberFormat="1" applyFont="1" applyFill="1" applyBorder="1" applyAlignment="1">
      <alignment horizontal="center" vertical="center" wrapText="1"/>
    </xf>
    <xf numFmtId="4" fontId="32" fillId="10" borderId="2" xfId="0" applyNumberFormat="1" applyFont="1" applyFill="1" applyBorder="1" applyAlignment="1">
      <alignment horizontal="center" vertical="center" wrapText="1"/>
    </xf>
    <xf numFmtId="4" fontId="32" fillId="10" borderId="42" xfId="0" applyNumberFormat="1" applyFont="1" applyFill="1" applyBorder="1" applyAlignment="1">
      <alignment horizontal="center" vertical="center" wrapText="1"/>
    </xf>
    <xf numFmtId="170" fontId="15" fillId="10" borderId="2" xfId="0" applyNumberFormat="1" applyFont="1" applyFill="1" applyBorder="1" applyAlignment="1">
      <alignment horizontal="center" vertical="center" wrapText="1"/>
    </xf>
    <xf numFmtId="166" fontId="18" fillId="11" borderId="7" xfId="0" applyNumberFormat="1" applyFont="1" applyFill="1" applyBorder="1" applyAlignment="1">
      <alignment horizontal="center" vertical="center" wrapText="1"/>
    </xf>
    <xf numFmtId="166" fontId="18" fillId="11" borderId="9" xfId="0" applyNumberFormat="1" applyFont="1" applyFill="1" applyBorder="1" applyAlignment="1">
      <alignment horizontal="center" vertical="center" wrapText="1"/>
    </xf>
    <xf numFmtId="166" fontId="18" fillId="11" borderId="77" xfId="0" applyNumberFormat="1" applyFont="1" applyFill="1" applyBorder="1" applyAlignment="1">
      <alignment horizontal="center" vertical="center" wrapText="1"/>
    </xf>
    <xf numFmtId="4" fontId="18" fillId="11" borderId="77" xfId="0" applyNumberFormat="1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vertical="center" wrapText="1"/>
    </xf>
    <xf numFmtId="165" fontId="27" fillId="10" borderId="45" xfId="0" applyNumberFormat="1" applyFont="1" applyFill="1" applyBorder="1" applyAlignment="1">
      <alignment horizontal="center" vertical="center" wrapText="1"/>
    </xf>
    <xf numFmtId="166" fontId="10" fillId="10" borderId="77" xfId="0" applyNumberFormat="1" applyFont="1" applyFill="1" applyBorder="1" applyAlignment="1">
      <alignment horizontal="center" vertical="center" wrapText="1"/>
    </xf>
    <xf numFmtId="4" fontId="27" fillId="10" borderId="80" xfId="0" applyNumberFormat="1" applyFont="1" applyFill="1" applyBorder="1" applyAlignment="1">
      <alignment horizontal="center" vertical="center" wrapText="1"/>
    </xf>
    <xf numFmtId="166" fontId="10" fillId="10" borderId="75" xfId="0" applyNumberFormat="1" applyFont="1" applyFill="1" applyBorder="1" applyAlignment="1">
      <alignment horizontal="center" vertical="center" wrapText="1"/>
    </xf>
    <xf numFmtId="3" fontId="10" fillId="10" borderId="13" xfId="0" applyNumberFormat="1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173" fontId="4" fillId="10" borderId="13" xfId="0" applyNumberFormat="1" applyFont="1" applyFill="1" applyBorder="1" applyAlignment="1">
      <alignment vertical="center" wrapText="1"/>
    </xf>
    <xf numFmtId="4" fontId="4" fillId="10" borderId="3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4" fillId="10" borderId="20" xfId="6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 wrapText="1"/>
    </xf>
    <xf numFmtId="2" fontId="15" fillId="11" borderId="45" xfId="0" applyNumberFormat="1" applyFont="1" applyFill="1" applyBorder="1" applyAlignment="1">
      <alignment horizontal="center" vertical="center" wrapText="1"/>
    </xf>
    <xf numFmtId="4" fontId="27" fillId="10" borderId="15" xfId="0" applyNumberFormat="1" applyFont="1" applyFill="1" applyBorder="1" applyAlignment="1">
      <alignment horizontal="center" vertical="center" wrapText="1"/>
    </xf>
    <xf numFmtId="3" fontId="15" fillId="11" borderId="45" xfId="0" applyNumberFormat="1" applyFont="1" applyFill="1" applyBorder="1" applyAlignment="1">
      <alignment horizontal="center" vertical="center" wrapText="1"/>
    </xf>
    <xf numFmtId="3" fontId="15" fillId="11" borderId="52" xfId="0" applyNumberFormat="1" applyFont="1" applyFill="1" applyBorder="1" applyAlignment="1">
      <alignment horizontal="center" vertical="center" wrapText="1"/>
    </xf>
    <xf numFmtId="166" fontId="15" fillId="11" borderId="40" xfId="0" applyNumberFormat="1" applyFont="1" applyFill="1" applyBorder="1" applyAlignment="1">
      <alignment horizontal="center" vertical="center" wrapText="1"/>
    </xf>
    <xf numFmtId="171" fontId="22" fillId="11" borderId="2" xfId="0" applyNumberFormat="1" applyFont="1" applyFill="1" applyBorder="1" applyAlignment="1">
      <alignment vertical="center"/>
    </xf>
    <xf numFmtId="0" fontId="0" fillId="10" borderId="0" xfId="0" applyFont="1" applyFill="1" applyAlignment="1">
      <alignment horizontal="center" vertical="center" wrapText="1"/>
    </xf>
    <xf numFmtId="4" fontId="32" fillId="4" borderId="2" xfId="0" applyNumberFormat="1" applyFont="1" applyFill="1" applyBorder="1" applyAlignment="1">
      <alignment horizontal="center" vertical="center" wrapText="1"/>
    </xf>
    <xf numFmtId="171" fontId="15" fillId="10" borderId="2" xfId="0" applyNumberFormat="1" applyFont="1" applyFill="1" applyBorder="1" applyAlignment="1">
      <alignment horizontal="center" vertical="center" wrapText="1"/>
    </xf>
    <xf numFmtId="4" fontId="32" fillId="10" borderId="3" xfId="0" applyNumberFormat="1" applyFont="1" applyFill="1" applyBorder="1" applyAlignment="1">
      <alignment horizontal="center" vertical="center" wrapText="1"/>
    </xf>
    <xf numFmtId="4" fontId="15" fillId="11" borderId="57" xfId="0" applyNumberFormat="1" applyFont="1" applyFill="1" applyBorder="1" applyAlignment="1">
      <alignment horizontal="center" vertical="center" wrapText="1"/>
    </xf>
    <xf numFmtId="166" fontId="4" fillId="11" borderId="0" xfId="0" applyNumberFormat="1" applyFont="1" applyFill="1" applyBorder="1" applyAlignment="1">
      <alignment horizontal="center" vertical="center" wrapText="1"/>
    </xf>
    <xf numFmtId="165" fontId="11" fillId="11" borderId="11" xfId="0" applyNumberFormat="1" applyFont="1" applyFill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1" fontId="15" fillId="10" borderId="40" xfId="0" applyNumberFormat="1" applyFont="1" applyFill="1" applyBorder="1" applyAlignment="1">
      <alignment horizontal="center" vertical="center"/>
    </xf>
    <xf numFmtId="167" fontId="15" fillId="10" borderId="44" xfId="0" applyNumberFormat="1" applyFont="1" applyFill="1" applyBorder="1" applyAlignment="1">
      <alignment horizontal="center" vertical="center"/>
    </xf>
    <xf numFmtId="1" fontId="15" fillId="10" borderId="44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27" fillId="4" borderId="12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4" fontId="27" fillId="10" borderId="42" xfId="0" applyNumberFormat="1" applyFont="1" applyFill="1" applyBorder="1" applyAlignment="1">
      <alignment horizontal="center" vertical="center" wrapText="1"/>
    </xf>
    <xf numFmtId="4" fontId="27" fillId="10" borderId="47" xfId="0" applyNumberFormat="1" applyFont="1" applyFill="1" applyBorder="1" applyAlignment="1">
      <alignment horizontal="center" vertical="center" wrapText="1"/>
    </xf>
    <xf numFmtId="4" fontId="15" fillId="11" borderId="86" xfId="0" applyNumberFormat="1" applyFont="1" applyFill="1" applyBorder="1" applyAlignment="1">
      <alignment horizontal="center" vertical="center" wrapText="1"/>
    </xf>
    <xf numFmtId="0" fontId="15" fillId="10" borderId="86" xfId="0" applyFont="1" applyFill="1" applyBorder="1" applyAlignment="1">
      <alignment horizontal="center" vertical="center" wrapText="1"/>
    </xf>
    <xf numFmtId="167" fontId="15" fillId="11" borderId="7" xfId="0" applyNumberFormat="1" applyFont="1" applyFill="1" applyBorder="1" applyAlignment="1">
      <alignment vertical="center"/>
    </xf>
    <xf numFmtId="4" fontId="32" fillId="10" borderId="12" xfId="0" applyNumberFormat="1" applyFont="1" applyFill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 wrapText="1"/>
    </xf>
    <xf numFmtId="4" fontId="32" fillId="10" borderId="58" xfId="0" applyNumberFormat="1" applyFont="1" applyFill="1" applyBorder="1" applyAlignment="1">
      <alignment horizontal="center" vertical="center" wrapText="1"/>
    </xf>
    <xf numFmtId="171" fontId="15" fillId="11" borderId="40" xfId="0" applyNumberFormat="1" applyFont="1" applyFill="1" applyBorder="1" applyAlignment="1">
      <alignment vertical="center"/>
    </xf>
    <xf numFmtId="166" fontId="18" fillId="11" borderId="86" xfId="0" applyNumberFormat="1" applyFont="1" applyFill="1" applyBorder="1" applyAlignment="1">
      <alignment horizontal="center" vertical="center" wrapText="1"/>
    </xf>
    <xf numFmtId="166" fontId="18" fillId="11" borderId="80" xfId="0" applyNumberFormat="1" applyFont="1" applyFill="1" applyBorder="1" applyAlignment="1">
      <alignment horizontal="center" vertical="center" wrapText="1"/>
    </xf>
    <xf numFmtId="1" fontId="15" fillId="10" borderId="45" xfId="0" applyNumberFormat="1" applyFont="1" applyFill="1" applyBorder="1" applyAlignment="1">
      <alignment horizontal="center" vertical="center"/>
    </xf>
    <xf numFmtId="171" fontId="6" fillId="4" borderId="2" xfId="0" applyNumberFormat="1" applyFont="1" applyFill="1" applyBorder="1" applyAlignment="1">
      <alignment horizontal="center" vertical="center" wrapText="1"/>
    </xf>
    <xf numFmtId="171" fontId="15" fillId="10" borderId="40" xfId="0" applyNumberFormat="1" applyFont="1" applyFill="1" applyBorder="1" applyAlignment="1">
      <alignment horizontal="center" vertical="center" wrapText="1"/>
    </xf>
    <xf numFmtId="171" fontId="19" fillId="10" borderId="2" xfId="0" applyNumberFormat="1" applyFont="1" applyFill="1" applyBorder="1" applyAlignment="1">
      <alignment horizontal="center" vertical="center" wrapText="1"/>
    </xf>
    <xf numFmtId="171" fontId="15" fillId="10" borderId="2" xfId="0" applyNumberFormat="1" applyFont="1" applyFill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4" fontId="15" fillId="11" borderId="45" xfId="0" applyNumberFormat="1" applyFont="1" applyFill="1" applyBorder="1" applyAlignment="1">
      <alignment horizontal="center" vertical="center"/>
    </xf>
    <xf numFmtId="166" fontId="27" fillId="15" borderId="2" xfId="0" applyNumberFormat="1" applyFont="1" applyFill="1" applyBorder="1" applyAlignment="1">
      <alignment vertical="center" wrapText="1"/>
    </xf>
    <xf numFmtId="166" fontId="15" fillId="15" borderId="89" xfId="0" applyNumberFormat="1" applyFont="1" applyFill="1" applyBorder="1" applyAlignment="1">
      <alignment horizontal="center" vertical="center" wrapText="1"/>
    </xf>
    <xf numFmtId="166" fontId="15" fillId="15" borderId="2" xfId="0" applyNumberFormat="1" applyFont="1" applyFill="1" applyBorder="1" applyAlignment="1">
      <alignment vertical="center" wrapText="1"/>
    </xf>
    <xf numFmtId="171" fontId="27" fillId="10" borderId="2" xfId="0" applyNumberFormat="1" applyFont="1" applyFill="1" applyBorder="1" applyAlignment="1">
      <alignment vertical="center" wrapText="1"/>
    </xf>
    <xf numFmtId="166" fontId="15" fillId="10" borderId="5" xfId="0" applyNumberFormat="1" applyFont="1" applyFill="1" applyBorder="1" applyAlignment="1">
      <alignment horizontal="center" vertical="center" wrapText="1"/>
    </xf>
    <xf numFmtId="166" fontId="27" fillId="15" borderId="89" xfId="0" applyNumberFormat="1" applyFont="1" applyFill="1" applyBorder="1" applyAlignment="1">
      <alignment horizontal="center" vertical="center" wrapText="1"/>
    </xf>
    <xf numFmtId="166" fontId="27" fillId="10" borderId="89" xfId="0" applyNumberFormat="1" applyFont="1" applyFill="1" applyBorder="1" applyAlignment="1">
      <alignment horizontal="center" vertical="center" wrapText="1"/>
    </xf>
    <xf numFmtId="171" fontId="27" fillId="10" borderId="78" xfId="0" applyNumberFormat="1" applyFont="1" applyFill="1" applyBorder="1" applyAlignment="1">
      <alignment horizontal="center" vertical="center" wrapText="1"/>
    </xf>
    <xf numFmtId="4" fontId="41" fillId="10" borderId="2" xfId="0" applyNumberFormat="1" applyFont="1" applyFill="1" applyBorder="1" applyAlignment="1">
      <alignment horizontal="center" vertical="center" wrapText="1"/>
    </xf>
    <xf numFmtId="3" fontId="10" fillId="10" borderId="89" xfId="0" applyNumberFormat="1" applyFont="1" applyFill="1" applyBorder="1" applyAlignment="1">
      <alignment horizontal="center" vertical="center"/>
    </xf>
    <xf numFmtId="166" fontId="39" fillId="10" borderId="89" xfId="0" applyNumberFormat="1" applyFont="1" applyFill="1" applyBorder="1" applyAlignment="1">
      <alignment horizontal="left" vertical="center" wrapText="1"/>
    </xf>
    <xf numFmtId="166" fontId="39" fillId="10" borderId="89" xfId="0" applyNumberFormat="1" applyFont="1" applyFill="1" applyBorder="1" applyAlignment="1">
      <alignment horizontal="center" vertical="center" wrapText="1"/>
    </xf>
    <xf numFmtId="4" fontId="18" fillId="10" borderId="89" xfId="0" applyNumberFormat="1" applyFont="1" applyFill="1" applyBorder="1" applyAlignment="1">
      <alignment horizontal="center" vertical="center" wrapText="1"/>
    </xf>
    <xf numFmtId="4" fontId="15" fillId="11" borderId="1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6" fontId="18" fillId="11" borderId="89" xfId="0" applyNumberFormat="1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vertical="center" wrapText="1"/>
    </xf>
    <xf numFmtId="166" fontId="17" fillId="10" borderId="9" xfId="0" applyNumberFormat="1" applyFont="1" applyFill="1" applyBorder="1" applyAlignment="1">
      <alignment horizontal="center" vertical="center" wrapText="1"/>
    </xf>
    <xf numFmtId="166" fontId="17" fillId="10" borderId="89" xfId="0" applyNumberFormat="1" applyFont="1" applyFill="1" applyBorder="1" applyAlignment="1">
      <alignment horizontal="center" vertical="center"/>
    </xf>
    <xf numFmtId="166" fontId="18" fillId="10" borderId="89" xfId="0" applyNumberFormat="1" applyFont="1" applyFill="1" applyBorder="1" applyAlignment="1">
      <alignment horizontal="center" vertical="center" wrapText="1"/>
    </xf>
    <xf numFmtId="166" fontId="18" fillId="10" borderId="91" xfId="0" applyNumberFormat="1" applyFont="1" applyFill="1" applyBorder="1" applyAlignment="1">
      <alignment horizontal="center" vertical="center" wrapText="1"/>
    </xf>
    <xf numFmtId="166" fontId="18" fillId="10" borderId="9" xfId="0" applyNumberFormat="1" applyFont="1" applyFill="1" applyBorder="1" applyAlignment="1">
      <alignment horizontal="center" vertical="center" wrapText="1"/>
    </xf>
    <xf numFmtId="4" fontId="18" fillId="11" borderId="91" xfId="0" applyNumberFormat="1" applyFont="1" applyFill="1" applyBorder="1" applyAlignment="1">
      <alignment horizontal="center" vertical="center" wrapText="1"/>
    </xf>
    <xf numFmtId="171" fontId="18" fillId="10" borderId="11" xfId="0" applyNumberFormat="1" applyFont="1" applyFill="1" applyBorder="1" applyAlignment="1">
      <alignment horizontal="center" vertical="center" wrapText="1"/>
    </xf>
    <xf numFmtId="171" fontId="32" fillId="4" borderId="2" xfId="0" applyNumberFormat="1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166" fontId="15" fillId="11" borderId="45" xfId="0" applyNumberFormat="1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167" fontId="15" fillId="11" borderId="5" xfId="0" applyNumberFormat="1" applyFont="1" applyFill="1" applyBorder="1" applyAlignment="1">
      <alignment horizontal="center" vertical="center"/>
    </xf>
    <xf numFmtId="167" fontId="15" fillId="11" borderId="13" xfId="0" applyNumberFormat="1" applyFont="1" applyFill="1" applyBorder="1" applyAlignment="1">
      <alignment horizontal="center" vertical="center"/>
    </xf>
    <xf numFmtId="4" fontId="27" fillId="10" borderId="40" xfId="0" applyNumberFormat="1" applyFont="1" applyFill="1" applyBorder="1" applyAlignment="1">
      <alignment horizontal="center" vertical="center" wrapText="1"/>
    </xf>
    <xf numFmtId="0" fontId="15" fillId="11" borderId="88" xfId="0" applyFont="1" applyFill="1" applyBorder="1" applyAlignment="1">
      <alignment horizontal="center" vertical="center" wrapText="1"/>
    </xf>
    <xf numFmtId="0" fontId="15" fillId="10" borderId="58" xfId="0" applyFont="1" applyFill="1" applyBorder="1" applyAlignment="1">
      <alignment horizontal="center" vertical="center" wrapText="1"/>
    </xf>
    <xf numFmtId="0" fontId="15" fillId="11" borderId="74" xfId="0" applyFont="1" applyFill="1" applyBorder="1" applyAlignment="1">
      <alignment horizontal="center" vertical="center" wrapText="1"/>
    </xf>
    <xf numFmtId="4" fontId="15" fillId="11" borderId="80" xfId="0" applyNumberFormat="1" applyFont="1" applyFill="1" applyBorder="1" applyAlignment="1">
      <alignment horizontal="center" vertical="center" wrapText="1"/>
    </xf>
    <xf numFmtId="167" fontId="15" fillId="11" borderId="12" xfId="0" applyNumberFormat="1" applyFont="1" applyFill="1" applyBorder="1" applyAlignment="1">
      <alignment horizontal="center" vertical="center"/>
    </xf>
    <xf numFmtId="166" fontId="15" fillId="11" borderId="51" xfId="0" applyNumberFormat="1" applyFont="1" applyFill="1" applyBorder="1" applyAlignment="1">
      <alignment horizontal="center" vertical="center" wrapText="1"/>
    </xf>
    <xf numFmtId="166" fontId="15" fillId="11" borderId="52" xfId="0" applyNumberFormat="1" applyFont="1" applyFill="1" applyBorder="1" applyAlignment="1">
      <alignment horizontal="center" vertical="center" wrapText="1"/>
    </xf>
    <xf numFmtId="171" fontId="46" fillId="10" borderId="2" xfId="0" applyNumberFormat="1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4" fontId="11" fillId="10" borderId="2" xfId="0" applyNumberFormat="1" applyFont="1" applyFill="1" applyBorder="1" applyAlignment="1">
      <alignment vertical="center" wrapText="1"/>
    </xf>
    <xf numFmtId="4" fontId="26" fillId="11" borderId="2" xfId="0" applyNumberFormat="1" applyFont="1" applyFill="1" applyBorder="1" applyAlignment="1">
      <alignment horizontal="center" vertical="center"/>
    </xf>
    <xf numFmtId="166" fontId="27" fillId="10" borderId="56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1" fontId="15" fillId="11" borderId="13" xfId="0" applyNumberFormat="1" applyFont="1" applyFill="1" applyBorder="1" applyAlignment="1">
      <alignment horizontal="center" vertical="center"/>
    </xf>
    <xf numFmtId="0" fontId="6" fillId="10" borderId="2" xfId="6" applyFont="1" applyFill="1" applyBorder="1" applyAlignment="1">
      <alignment vertical="center" wrapText="1"/>
    </xf>
    <xf numFmtId="0" fontId="12" fillId="10" borderId="93" xfId="0" applyFont="1" applyFill="1" applyBorder="1" applyAlignment="1">
      <alignment horizontal="center" vertical="center" wrapText="1"/>
    </xf>
    <xf numFmtId="166" fontId="38" fillId="11" borderId="2" xfId="0" applyNumberFormat="1" applyFont="1" applyFill="1" applyBorder="1" applyAlignment="1">
      <alignment horizontal="center" vertical="center"/>
    </xf>
    <xf numFmtId="2" fontId="15" fillId="10" borderId="13" xfId="6" applyNumberFormat="1" applyFont="1" applyFill="1" applyBorder="1" applyAlignment="1">
      <alignment vertical="center" wrapText="1"/>
    </xf>
    <xf numFmtId="0" fontId="15" fillId="10" borderId="13" xfId="6" applyFont="1" applyFill="1" applyBorder="1" applyAlignment="1">
      <alignment vertical="center" wrapText="1"/>
    </xf>
    <xf numFmtId="2" fontId="15" fillId="10" borderId="13" xfId="6" applyNumberFormat="1" applyFont="1" applyFill="1" applyBorder="1" applyAlignment="1">
      <alignment horizontal="center" vertical="center" wrapText="1"/>
    </xf>
    <xf numFmtId="0" fontId="15" fillId="10" borderId="45" xfId="6" applyFont="1" applyFill="1" applyBorder="1" applyAlignment="1">
      <alignment vertical="center" wrapText="1"/>
    </xf>
    <xf numFmtId="0" fontId="15" fillId="11" borderId="45" xfId="0" applyFont="1" applyFill="1" applyBorder="1" applyAlignment="1">
      <alignment vertical="center" wrapText="1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13" xfId="6" applyFont="1" applyFill="1" applyBorder="1" applyAlignment="1">
      <alignment horizontal="center" vertical="center" wrapText="1"/>
    </xf>
    <xf numFmtId="2" fontId="15" fillId="10" borderId="45" xfId="6" applyNumberFormat="1" applyFont="1" applyFill="1" applyBorder="1" applyAlignment="1">
      <alignment vertical="center" wrapText="1"/>
    </xf>
    <xf numFmtId="2" fontId="15" fillId="10" borderId="45" xfId="6" applyNumberFormat="1" applyFont="1" applyFill="1" applyBorder="1" applyAlignment="1">
      <alignment horizontal="center" vertical="center" wrapText="1"/>
    </xf>
    <xf numFmtId="171" fontId="18" fillId="11" borderId="11" xfId="0" applyNumberFormat="1" applyFont="1" applyFill="1" applyBorder="1" applyAlignment="1">
      <alignment horizontal="center" vertical="center" wrapText="1"/>
    </xf>
    <xf numFmtId="171" fontId="18" fillId="11" borderId="13" xfId="0" applyNumberFormat="1" applyFont="1" applyFill="1" applyBorder="1" applyAlignment="1">
      <alignment horizontal="center" vertical="center" wrapText="1"/>
    </xf>
    <xf numFmtId="168" fontId="15" fillId="10" borderId="40" xfId="0" applyNumberFormat="1" applyFont="1" applyFill="1" applyBorder="1" applyAlignment="1">
      <alignment horizontal="center" vertical="center" wrapText="1"/>
    </xf>
    <xf numFmtId="167" fontId="15" fillId="10" borderId="86" xfId="0" applyNumberFormat="1" applyFont="1" applyFill="1" applyBorder="1" applyAlignment="1">
      <alignment horizontal="center" vertical="center"/>
    </xf>
    <xf numFmtId="166" fontId="27" fillId="10" borderId="47" xfId="0" applyNumberFormat="1" applyFont="1" applyFill="1" applyBorder="1" applyAlignment="1">
      <alignment horizontal="center" vertical="center" wrapText="1"/>
    </xf>
    <xf numFmtId="4" fontId="27" fillId="10" borderId="4" xfId="0" applyNumberFormat="1" applyFont="1" applyFill="1" applyBorder="1" applyAlignment="1">
      <alignment horizontal="center" vertical="center" wrapText="1"/>
    </xf>
    <xf numFmtId="2" fontId="15" fillId="11" borderId="2" xfId="0" applyNumberFormat="1" applyFont="1" applyFill="1" applyBorder="1" applyAlignment="1">
      <alignment horizontal="center" vertical="center"/>
    </xf>
    <xf numFmtId="166" fontId="19" fillId="10" borderId="12" xfId="0" applyNumberFormat="1" applyFont="1" applyFill="1" applyBorder="1" applyAlignment="1">
      <alignment horizontal="center" vertical="center" wrapText="1"/>
    </xf>
    <xf numFmtId="4" fontId="38" fillId="11" borderId="2" xfId="0" applyNumberFormat="1" applyFont="1" applyFill="1" applyBorder="1" applyAlignment="1">
      <alignment horizontal="center" vertical="center"/>
    </xf>
    <xf numFmtId="167" fontId="15" fillId="10" borderId="45" xfId="0" applyNumberFormat="1" applyFont="1" applyFill="1" applyBorder="1" applyAlignment="1">
      <alignment horizontal="center" vertical="center" wrapText="1"/>
    </xf>
    <xf numFmtId="167" fontId="19" fillId="10" borderId="2" xfId="0" applyNumberFormat="1" applyFont="1" applyFill="1" applyBorder="1" applyAlignment="1">
      <alignment horizontal="center" vertical="center" wrapText="1"/>
    </xf>
    <xf numFmtId="4" fontId="27" fillId="10" borderId="2" xfId="0" applyNumberFormat="1" applyFont="1" applyFill="1" applyBorder="1" applyAlignment="1">
      <alignment horizontal="center" vertical="center" wrapText="1"/>
    </xf>
    <xf numFmtId="171" fontId="22" fillId="10" borderId="2" xfId="0" applyNumberFormat="1" applyFont="1" applyFill="1" applyBorder="1" applyAlignment="1">
      <alignment horizontal="center" vertical="center" wrapText="1"/>
    </xf>
    <xf numFmtId="176" fontId="19" fillId="10" borderId="2" xfId="0" applyNumberFormat="1" applyFont="1" applyFill="1" applyBorder="1" applyAlignment="1">
      <alignment vertical="center" wrapText="1"/>
    </xf>
    <xf numFmtId="166" fontId="15" fillId="11" borderId="11" xfId="0" applyNumberFormat="1" applyFont="1" applyFill="1" applyBorder="1" applyAlignment="1">
      <alignment horizontal="center" vertical="center" wrapText="1"/>
    </xf>
    <xf numFmtId="4" fontId="20" fillId="10" borderId="2" xfId="0" applyNumberFormat="1" applyFont="1" applyFill="1" applyBorder="1" applyAlignment="1">
      <alignment vertical="center"/>
    </xf>
    <xf numFmtId="0" fontId="15" fillId="10" borderId="2" xfId="0" applyFont="1" applyFill="1" applyBorder="1" applyAlignment="1">
      <alignment vertical="center"/>
    </xf>
    <xf numFmtId="166" fontId="18" fillId="10" borderId="2" xfId="0" applyNumberFormat="1" applyFont="1" applyFill="1" applyBorder="1" applyAlignment="1">
      <alignment horizontal="center" vertical="center" wrapText="1"/>
    </xf>
    <xf numFmtId="165" fontId="18" fillId="10" borderId="2" xfId="0" applyNumberFormat="1" applyFont="1" applyFill="1" applyBorder="1" applyAlignment="1">
      <alignment horizontal="center" vertical="center" wrapText="1"/>
    </xf>
    <xf numFmtId="4" fontId="19" fillId="10" borderId="107" xfId="0" applyNumberFormat="1" applyFont="1" applyFill="1" applyBorder="1" applyAlignment="1">
      <alignment vertical="center" wrapText="1"/>
    </xf>
    <xf numFmtId="0" fontId="10" fillId="10" borderId="107" xfId="0" applyFont="1" applyFill="1" applyBorder="1" applyAlignment="1">
      <alignment horizontal="center" vertical="center" wrapText="1"/>
    </xf>
    <xf numFmtId="0" fontId="15" fillId="11" borderId="107" xfId="0" applyFont="1" applyFill="1" applyBorder="1" applyAlignment="1">
      <alignment vertical="center" wrapText="1"/>
    </xf>
    <xf numFmtId="0" fontId="15" fillId="10" borderId="107" xfId="0" applyFont="1" applyFill="1" applyBorder="1" applyAlignment="1">
      <alignment vertical="center" wrapText="1"/>
    </xf>
    <xf numFmtId="0" fontId="10" fillId="0" borderId="107" xfId="0" applyFont="1" applyBorder="1" applyAlignment="1">
      <alignment horizontal="center" vertical="center" wrapText="1"/>
    </xf>
    <xf numFmtId="166" fontId="10" fillId="10" borderId="107" xfId="0" applyNumberFormat="1" applyFont="1" applyFill="1" applyBorder="1" applyAlignment="1">
      <alignment horizontal="center" vertical="center" wrapText="1"/>
    </xf>
    <xf numFmtId="0" fontId="32" fillId="10" borderId="107" xfId="0" applyFont="1" applyFill="1" applyBorder="1" applyAlignment="1">
      <alignment horizontal="center" vertical="center" wrapText="1"/>
    </xf>
    <xf numFmtId="0" fontId="15" fillId="11" borderId="103" xfId="0" applyFont="1" applyFill="1" applyBorder="1" applyAlignment="1">
      <alignment horizontal="center" vertical="center" wrapText="1"/>
    </xf>
    <xf numFmtId="4" fontId="15" fillId="11" borderId="103" xfId="0" applyNumberFormat="1" applyFont="1" applyFill="1" applyBorder="1" applyAlignment="1">
      <alignment horizontal="center" vertical="center" wrapText="1"/>
    </xf>
    <xf numFmtId="4" fontId="15" fillId="11" borderId="88" xfId="0" applyNumberFormat="1" applyFont="1" applyFill="1" applyBorder="1" applyAlignment="1">
      <alignment horizontal="center" vertical="center" wrapText="1"/>
    </xf>
    <xf numFmtId="4" fontId="15" fillId="11" borderId="110" xfId="0" applyNumberFormat="1" applyFont="1" applyFill="1" applyBorder="1" applyAlignment="1">
      <alignment horizontal="center" vertical="center" wrapText="1"/>
    </xf>
    <xf numFmtId="4" fontId="27" fillId="10" borderId="107" xfId="0" applyNumberFormat="1" applyFont="1" applyFill="1" applyBorder="1" applyAlignment="1">
      <alignment horizontal="center" vertical="center" wrapText="1"/>
    </xf>
    <xf numFmtId="166" fontId="15" fillId="11" borderId="54" xfId="0" applyNumberFormat="1" applyFont="1" applyFill="1" applyBorder="1" applyAlignment="1">
      <alignment horizontal="center" vertical="center" wrapText="1"/>
    </xf>
    <xf numFmtId="166" fontId="15" fillId="11" borderId="57" xfId="0" applyNumberFormat="1" applyFont="1" applyFill="1" applyBorder="1" applyAlignment="1">
      <alignment horizontal="center" vertical="center" wrapText="1"/>
    </xf>
    <xf numFmtId="166" fontId="15" fillId="11" borderId="108" xfId="0" applyNumberFormat="1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166" fontId="15" fillId="11" borderId="56" xfId="0" applyNumberFormat="1" applyFont="1" applyFill="1" applyBorder="1" applyAlignment="1">
      <alignment horizontal="center" vertical="center" wrapText="1"/>
    </xf>
    <xf numFmtId="166" fontId="15" fillId="11" borderId="72" xfId="0" applyNumberFormat="1" applyFont="1" applyFill="1" applyBorder="1" applyAlignment="1">
      <alignment horizontal="center" vertical="center" wrapText="1"/>
    </xf>
    <xf numFmtId="167" fontId="15" fillId="11" borderId="9" xfId="0" applyNumberFormat="1" applyFont="1" applyFill="1" applyBorder="1" applyAlignment="1">
      <alignment horizontal="center" vertical="center"/>
    </xf>
    <xf numFmtId="170" fontId="15" fillId="11" borderId="2" xfId="0" applyNumberFormat="1" applyFont="1" applyFill="1" applyBorder="1" applyAlignment="1">
      <alignment horizontal="center" vertical="center"/>
    </xf>
    <xf numFmtId="166" fontId="15" fillId="11" borderId="5" xfId="0" applyNumberFormat="1" applyFont="1" applyFill="1" applyBorder="1" applyAlignment="1">
      <alignment horizontal="center" vertical="center" wrapText="1"/>
    </xf>
    <xf numFmtId="166" fontId="15" fillId="11" borderId="107" xfId="0" applyNumberFormat="1" applyFont="1" applyFill="1" applyBorder="1" applyAlignment="1">
      <alignment vertical="center" wrapText="1"/>
    </xf>
    <xf numFmtId="0" fontId="20" fillId="10" borderId="13" xfId="0" applyFont="1" applyFill="1" applyBorder="1" applyAlignment="1">
      <alignment vertical="center"/>
    </xf>
    <xf numFmtId="4" fontId="20" fillId="10" borderId="13" xfId="0" applyNumberFormat="1" applyFont="1" applyFill="1" applyBorder="1" applyAlignment="1">
      <alignment vertical="center"/>
    </xf>
    <xf numFmtId="4" fontId="15" fillId="10" borderId="57" xfId="0" applyNumberFormat="1" applyFont="1" applyFill="1" applyBorder="1" applyAlignment="1">
      <alignment horizontal="center" vertical="center" wrapText="1"/>
    </xf>
    <xf numFmtId="0" fontId="12" fillId="10" borderId="107" xfId="0" applyFont="1" applyFill="1" applyBorder="1" applyAlignment="1">
      <alignment horizontal="center" vertical="center" wrapText="1"/>
    </xf>
    <xf numFmtId="3" fontId="15" fillId="10" borderId="44" xfId="0" applyNumberFormat="1" applyFont="1" applyFill="1" applyBorder="1" applyAlignment="1">
      <alignment horizontal="center" vertical="center" wrapText="1"/>
    </xf>
    <xf numFmtId="4" fontId="17" fillId="11" borderId="2" xfId="0" applyNumberFormat="1" applyFont="1" applyFill="1" applyBorder="1" applyAlignment="1">
      <alignment horizontal="center" vertical="center" wrapText="1"/>
    </xf>
    <xf numFmtId="2" fontId="6" fillId="11" borderId="2" xfId="0" applyNumberFormat="1" applyFont="1" applyFill="1" applyBorder="1" applyAlignment="1">
      <alignment vertical="center"/>
    </xf>
    <xf numFmtId="2" fontId="4" fillId="11" borderId="2" xfId="0" applyNumberFormat="1" applyFont="1" applyFill="1" applyBorder="1" applyAlignment="1">
      <alignment vertical="center"/>
    </xf>
    <xf numFmtId="2" fontId="0" fillId="10" borderId="2" xfId="0" applyNumberFormat="1" applyFont="1" applyFill="1" applyBorder="1" applyAlignment="1">
      <alignment vertical="center"/>
    </xf>
    <xf numFmtId="166" fontId="10" fillId="11" borderId="2" xfId="0" applyNumberFormat="1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vertical="center"/>
    </xf>
    <xf numFmtId="0" fontId="20" fillId="10" borderId="2" xfId="0" applyFont="1" applyFill="1" applyBorder="1" applyAlignment="1">
      <alignment vertical="center"/>
    </xf>
    <xf numFmtId="0" fontId="4" fillId="10" borderId="17" xfId="6" applyFont="1" applyFill="1" applyBorder="1" applyAlignment="1">
      <alignment horizontal="center" vertical="center"/>
    </xf>
    <xf numFmtId="4" fontId="17" fillId="11" borderId="54" xfId="0" applyNumberFormat="1" applyFont="1" applyFill="1" applyBorder="1" applyAlignment="1">
      <alignment horizontal="center" vertical="center" wrapText="1"/>
    </xf>
    <xf numFmtId="4" fontId="17" fillId="11" borderId="109" xfId="0" applyNumberFormat="1" applyFont="1" applyFill="1" applyBorder="1" applyAlignment="1">
      <alignment horizontal="center" vertical="center" wrapText="1"/>
    </xf>
    <xf numFmtId="165" fontId="17" fillId="11" borderId="2" xfId="0" applyNumberFormat="1" applyFont="1" applyFill="1" applyBorder="1" applyAlignment="1">
      <alignment horizontal="center" vertical="center" wrapText="1"/>
    </xf>
    <xf numFmtId="166" fontId="26" fillId="11" borderId="2" xfId="0" applyNumberFormat="1" applyFont="1" applyFill="1" applyBorder="1" applyAlignment="1">
      <alignment horizontal="center" vertical="center"/>
    </xf>
    <xf numFmtId="166" fontId="26" fillId="11" borderId="2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 wrapText="1"/>
    </xf>
    <xf numFmtId="14" fontId="15" fillId="10" borderId="2" xfId="0" applyNumberFormat="1" applyFont="1" applyFill="1" applyBorder="1" applyAlignment="1">
      <alignment vertical="center" wrapText="1"/>
    </xf>
    <xf numFmtId="1" fontId="15" fillId="10" borderId="45" xfId="0" applyNumberFormat="1" applyFont="1" applyFill="1" applyBorder="1" applyAlignment="1">
      <alignment horizontal="center" vertical="center" wrapText="1"/>
    </xf>
    <xf numFmtId="166" fontId="17" fillId="11" borderId="15" xfId="0" applyNumberFormat="1" applyFont="1" applyFill="1" applyBorder="1" applyAlignment="1">
      <alignment horizontal="center" vertical="center" wrapText="1"/>
    </xf>
    <xf numFmtId="166" fontId="4" fillId="11" borderId="93" xfId="0" applyNumberFormat="1" applyFont="1" applyFill="1" applyBorder="1" applyAlignment="1">
      <alignment horizontal="center" vertical="center" wrapText="1"/>
    </xf>
    <xf numFmtId="4" fontId="4" fillId="11" borderId="93" xfId="0" applyNumberFormat="1" applyFont="1" applyFill="1" applyBorder="1" applyAlignment="1">
      <alignment horizontal="center" vertical="center" wrapText="1"/>
    </xf>
    <xf numFmtId="173" fontId="6" fillId="10" borderId="13" xfId="0" applyNumberFormat="1" applyFont="1" applyFill="1" applyBorder="1" applyAlignment="1">
      <alignment vertical="center" wrapText="1"/>
    </xf>
    <xf numFmtId="166" fontId="18" fillId="11" borderId="93" xfId="0" applyNumberFormat="1" applyFont="1" applyFill="1" applyBorder="1" applyAlignment="1">
      <alignment horizontal="center" vertical="center" wrapText="1"/>
    </xf>
    <xf numFmtId="166" fontId="18" fillId="10" borderId="93" xfId="0" applyNumberFormat="1" applyFont="1" applyFill="1" applyBorder="1" applyAlignment="1">
      <alignment horizontal="center" vertical="center" wrapText="1"/>
    </xf>
    <xf numFmtId="4" fontId="18" fillId="11" borderId="93" xfId="0" applyNumberFormat="1" applyFont="1" applyFill="1" applyBorder="1" applyAlignment="1">
      <alignment horizontal="center" vertical="center" wrapText="1"/>
    </xf>
    <xf numFmtId="4" fontId="4" fillId="11" borderId="2" xfId="0" applyNumberFormat="1" applyFont="1" applyFill="1" applyBorder="1" applyAlignment="1">
      <alignment horizontal="center" vertical="center" wrapText="1"/>
    </xf>
    <xf numFmtId="2" fontId="6" fillId="10" borderId="2" xfId="6" applyNumberFormat="1" applyFont="1" applyFill="1" applyBorder="1" applyAlignment="1">
      <alignment horizontal="center" vertical="center"/>
    </xf>
    <xf numFmtId="164" fontId="11" fillId="10" borderId="2" xfId="0" applyNumberFormat="1" applyFont="1" applyFill="1" applyBorder="1" applyAlignment="1">
      <alignment vertical="center" wrapText="1"/>
    </xf>
    <xf numFmtId="167" fontId="11" fillId="10" borderId="2" xfId="0" applyNumberFormat="1" applyFont="1" applyFill="1" applyBorder="1" applyAlignment="1">
      <alignment vertical="center" wrapText="1"/>
    </xf>
    <xf numFmtId="164" fontId="47" fillId="10" borderId="2" xfId="0" applyNumberFormat="1" applyFont="1" applyFill="1" applyBorder="1" applyAlignment="1">
      <alignment vertical="center" wrapText="1"/>
    </xf>
    <xf numFmtId="166" fontId="11" fillId="11" borderId="13" xfId="0" applyNumberFormat="1" applyFont="1" applyFill="1" applyBorder="1" applyAlignment="1">
      <alignment horizontal="center" vertical="center" wrapText="1"/>
    </xf>
    <xf numFmtId="173" fontId="15" fillId="10" borderId="2" xfId="0" applyNumberFormat="1" applyFont="1" applyFill="1" applyBorder="1" applyAlignment="1">
      <alignment vertical="center" wrapText="1"/>
    </xf>
    <xf numFmtId="2" fontId="20" fillId="10" borderId="2" xfId="0" applyNumberFormat="1" applyFont="1" applyFill="1" applyBorder="1" applyAlignment="1">
      <alignment vertical="center"/>
    </xf>
    <xf numFmtId="167" fontId="15" fillId="10" borderId="17" xfId="6" applyNumberFormat="1" applyFont="1" applyFill="1" applyBorder="1" applyAlignment="1">
      <alignment horizontal="center" vertical="center" wrapText="1"/>
    </xf>
    <xf numFmtId="0" fontId="15" fillId="10" borderId="17" xfId="6" applyFont="1" applyFill="1" applyBorder="1" applyAlignment="1">
      <alignment horizontal="center" vertical="center" wrapText="1"/>
    </xf>
    <xf numFmtId="2" fontId="4" fillId="10" borderId="2" xfId="6" applyNumberFormat="1" applyFont="1" applyFill="1" applyBorder="1" applyAlignment="1">
      <alignment vertical="center" wrapText="1"/>
    </xf>
    <xf numFmtId="0" fontId="15" fillId="10" borderId="70" xfId="6" applyNumberFormat="1" applyFont="1" applyFill="1" applyBorder="1" applyAlignment="1">
      <alignment horizontal="center" vertical="center" wrapText="1"/>
    </xf>
    <xf numFmtId="0" fontId="15" fillId="10" borderId="2" xfId="6" applyFont="1" applyFill="1" applyBorder="1" applyAlignment="1">
      <alignment vertical="center" wrapText="1"/>
    </xf>
    <xf numFmtId="164" fontId="15" fillId="10" borderId="2" xfId="6" applyNumberFormat="1" applyFont="1" applyFill="1" applyBorder="1" applyAlignment="1">
      <alignment horizontal="center" vertical="center" wrapText="1"/>
    </xf>
    <xf numFmtId="4" fontId="15" fillId="10" borderId="2" xfId="6" applyNumberFormat="1" applyFont="1" applyFill="1" applyBorder="1" applyAlignment="1">
      <alignment vertical="center" wrapText="1"/>
    </xf>
    <xf numFmtId="164" fontId="15" fillId="10" borderId="99" xfId="6" applyNumberFormat="1" applyFont="1" applyFill="1" applyBorder="1" applyAlignment="1">
      <alignment horizontal="center" vertical="center" wrapText="1"/>
    </xf>
    <xf numFmtId="2" fontId="15" fillId="10" borderId="99" xfId="6" applyNumberFormat="1" applyFont="1" applyFill="1" applyBorder="1" applyAlignment="1">
      <alignment horizontal="center" vertical="center" wrapText="1"/>
    </xf>
    <xf numFmtId="2" fontId="15" fillId="10" borderId="2" xfId="6" applyNumberFormat="1" applyFont="1" applyFill="1" applyBorder="1" applyAlignment="1">
      <alignment vertical="center" wrapText="1"/>
    </xf>
    <xf numFmtId="2" fontId="15" fillId="10" borderId="2" xfId="6" applyNumberFormat="1" applyFont="1" applyFill="1" applyBorder="1" applyAlignment="1">
      <alignment horizontal="center" vertical="center" wrapText="1"/>
    </xf>
    <xf numFmtId="0" fontId="15" fillId="10" borderId="2" xfId="6" applyNumberFormat="1" applyFont="1" applyFill="1" applyBorder="1" applyAlignment="1">
      <alignment horizontal="center" vertical="center" wrapText="1"/>
    </xf>
    <xf numFmtId="166" fontId="17" fillId="11" borderId="9" xfId="0" applyNumberFormat="1" applyFont="1" applyFill="1" applyBorder="1" applyAlignment="1">
      <alignment horizontal="center" vertical="center" wrapText="1"/>
    </xf>
    <xf numFmtId="166" fontId="17" fillId="11" borderId="93" xfId="0" applyNumberFormat="1" applyFont="1" applyFill="1" applyBorder="1" applyAlignment="1">
      <alignment horizontal="center" vertical="center" wrapText="1"/>
    </xf>
    <xf numFmtId="164" fontId="15" fillId="10" borderId="20" xfId="6" applyNumberFormat="1" applyFont="1" applyFill="1" applyBorder="1" applyAlignment="1">
      <alignment horizontal="center" vertical="center" wrapText="1"/>
    </xf>
    <xf numFmtId="167" fontId="15" fillId="10" borderId="2" xfId="6" applyNumberFormat="1" applyFont="1" applyFill="1" applyBorder="1" applyAlignment="1">
      <alignment horizontal="center" vertical="center" wrapText="1"/>
    </xf>
    <xf numFmtId="166" fontId="22" fillId="11" borderId="93" xfId="0" applyNumberFormat="1" applyFont="1" applyFill="1" applyBorder="1" applyAlignment="1">
      <alignment horizontal="center" vertical="center" wrapText="1"/>
    </xf>
    <xf numFmtId="4" fontId="22" fillId="11" borderId="93" xfId="0" applyNumberFormat="1" applyFont="1" applyFill="1" applyBorder="1" applyAlignment="1">
      <alignment horizontal="center" vertical="center" wrapText="1"/>
    </xf>
    <xf numFmtId="3" fontId="22" fillId="11" borderId="12" xfId="0" applyNumberFormat="1" applyFont="1" applyFill="1" applyBorder="1" applyAlignment="1">
      <alignment horizontal="center" vertical="center" wrapText="1"/>
    </xf>
    <xf numFmtId="166" fontId="22" fillId="11" borderId="12" xfId="0" applyNumberFormat="1" applyFont="1" applyFill="1" applyBorder="1" applyAlignment="1">
      <alignment horizontal="center" vertical="center" wrapText="1"/>
    </xf>
    <xf numFmtId="165" fontId="22" fillId="11" borderId="93" xfId="0" applyNumberFormat="1" applyFont="1" applyFill="1" applyBorder="1" applyAlignment="1">
      <alignment horizontal="center" vertical="center" wrapText="1"/>
    </xf>
    <xf numFmtId="173" fontId="18" fillId="11" borderId="93" xfId="0" applyNumberFormat="1" applyFont="1" applyFill="1" applyBorder="1" applyAlignment="1">
      <alignment horizontal="center" vertical="center" wrapText="1"/>
    </xf>
    <xf numFmtId="4" fontId="22" fillId="11" borderId="2" xfId="0" applyNumberFormat="1" applyFont="1" applyFill="1" applyBorder="1" applyAlignment="1">
      <alignment horizontal="center" vertical="center" wrapText="1"/>
    </xf>
    <xf numFmtId="165" fontId="22" fillId="11" borderId="2" xfId="0" applyNumberFormat="1" applyFont="1" applyFill="1" applyBorder="1" applyAlignment="1">
      <alignment horizontal="center" vertical="center" wrapText="1"/>
    </xf>
    <xf numFmtId="167" fontId="6" fillId="10" borderId="2" xfId="6" applyNumberFormat="1" applyFont="1" applyFill="1" applyBorder="1" applyAlignment="1">
      <alignment horizontal="center" vertical="center" wrapText="1"/>
    </xf>
    <xf numFmtId="2" fontId="4" fillId="10" borderId="2" xfId="6" applyNumberFormat="1" applyFont="1" applyFill="1" applyBorder="1" applyAlignment="1">
      <alignment vertical="center"/>
    </xf>
    <xf numFmtId="2" fontId="6" fillId="10" borderId="2" xfId="6" applyNumberFormat="1" applyFont="1" applyFill="1" applyBorder="1" applyAlignment="1">
      <alignment vertical="center"/>
    </xf>
    <xf numFmtId="2" fontId="6" fillId="10" borderId="2" xfId="6" applyNumberFormat="1" applyFont="1" applyFill="1" applyBorder="1" applyAlignment="1">
      <alignment vertical="center" wrapText="1"/>
    </xf>
    <xf numFmtId="0" fontId="6" fillId="10" borderId="17" xfId="6" applyNumberFormat="1" applyFont="1" applyFill="1" applyBorder="1" applyAlignment="1">
      <alignment horizontal="center" vertical="center" wrapText="1"/>
    </xf>
    <xf numFmtId="164" fontId="6" fillId="10" borderId="20" xfId="6" applyNumberFormat="1" applyFont="1" applyFill="1" applyBorder="1" applyAlignment="1">
      <alignment horizontal="center" vertical="center" wrapText="1"/>
    </xf>
    <xf numFmtId="0" fontId="6" fillId="10" borderId="2" xfId="6" applyNumberFormat="1" applyFont="1" applyFill="1" applyBorder="1" applyAlignment="1">
      <alignment horizontal="center" vertical="center" wrapText="1"/>
    </xf>
    <xf numFmtId="2" fontId="15" fillId="10" borderId="17" xfId="6" applyNumberFormat="1" applyFont="1" applyFill="1" applyBorder="1" applyAlignment="1">
      <alignment horizontal="center" vertical="center" wrapText="1"/>
    </xf>
    <xf numFmtId="165" fontId="4" fillId="11" borderId="7" xfId="0" applyNumberFormat="1" applyFont="1" applyFill="1" applyBorder="1" applyAlignment="1">
      <alignment horizontal="center" vertical="center" wrapText="1"/>
    </xf>
    <xf numFmtId="2" fontId="15" fillId="11" borderId="2" xfId="0" applyNumberFormat="1" applyFont="1" applyFill="1" applyBorder="1" applyAlignment="1">
      <alignment vertical="center"/>
    </xf>
    <xf numFmtId="2" fontId="6" fillId="11" borderId="2" xfId="0" applyNumberFormat="1" applyFont="1" applyFill="1" applyBorder="1" applyAlignment="1">
      <alignment vertical="center" wrapText="1"/>
    </xf>
    <xf numFmtId="2" fontId="0" fillId="10" borderId="2" xfId="0" applyNumberFormat="1" applyFont="1" applyFill="1" applyBorder="1" applyAlignment="1">
      <alignment vertical="center" wrapText="1"/>
    </xf>
    <xf numFmtId="164" fontId="19" fillId="11" borderId="2" xfId="0" applyNumberFormat="1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horizontal="center" vertical="center" wrapText="1"/>
    </xf>
    <xf numFmtId="166" fontId="4" fillId="11" borderId="7" xfId="0" applyNumberFormat="1" applyFont="1" applyFill="1" applyBorder="1" applyAlignment="1">
      <alignment horizontal="center" vertical="center" wrapText="1"/>
    </xf>
    <xf numFmtId="166" fontId="4" fillId="11" borderId="120" xfId="0" applyNumberFormat="1" applyFont="1" applyFill="1" applyBorder="1" applyAlignment="1">
      <alignment horizontal="center" vertical="center" wrapText="1"/>
    </xf>
    <xf numFmtId="3" fontId="15" fillId="10" borderId="93" xfId="0" applyNumberFormat="1" applyFont="1" applyFill="1" applyBorder="1" applyAlignment="1">
      <alignment horizontal="center" vertical="center" wrapText="1"/>
    </xf>
    <xf numFmtId="0" fontId="15" fillId="10" borderId="50" xfId="0" applyFont="1" applyFill="1" applyBorder="1" applyAlignment="1">
      <alignment horizontal="center" vertical="center" wrapText="1"/>
    </xf>
    <xf numFmtId="0" fontId="15" fillId="11" borderId="120" xfId="0" applyFont="1" applyFill="1" applyBorder="1" applyAlignment="1">
      <alignment horizontal="center" vertical="center" wrapText="1"/>
    </xf>
    <xf numFmtId="0" fontId="15" fillId="11" borderId="91" xfId="0" applyFont="1" applyFill="1" applyBorder="1" applyAlignment="1">
      <alignment horizontal="center" vertical="center" wrapText="1"/>
    </xf>
    <xf numFmtId="4" fontId="15" fillId="11" borderId="9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6" fontId="26" fillId="10" borderId="2" xfId="0" applyNumberFormat="1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4" fontId="26" fillId="10" borderId="2" xfId="0" applyNumberFormat="1" applyFont="1" applyFill="1" applyBorder="1" applyAlignment="1">
      <alignment horizontal="center" vertical="center" wrapText="1"/>
    </xf>
    <xf numFmtId="0" fontId="12" fillId="10" borderId="104" xfId="0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left" vertical="center"/>
    </xf>
    <xf numFmtId="0" fontId="22" fillId="11" borderId="2" xfId="0" applyFont="1" applyFill="1" applyBorder="1" applyAlignment="1">
      <alignment horizontal="left" vertical="center"/>
    </xf>
    <xf numFmtId="0" fontId="22" fillId="11" borderId="2" xfId="0" applyFont="1" applyFill="1" applyBorder="1" applyAlignment="1">
      <alignment horizontal="center" vertical="center"/>
    </xf>
    <xf numFmtId="165" fontId="22" fillId="11" borderId="2" xfId="0" applyNumberFormat="1" applyFont="1" applyFill="1" applyBorder="1" applyAlignment="1">
      <alignment horizontal="center" vertical="center"/>
    </xf>
    <xf numFmtId="0" fontId="6" fillId="10" borderId="12" xfId="0" applyFont="1" applyFill="1" applyBorder="1"/>
    <xf numFmtId="4" fontId="22" fillId="10" borderId="2" xfId="0" applyNumberFormat="1" applyFont="1" applyFill="1" applyBorder="1" applyAlignment="1">
      <alignment horizontal="center" vertical="center" wrapText="1"/>
    </xf>
    <xf numFmtId="166" fontId="15" fillId="10" borderId="13" xfId="0" applyNumberFormat="1" applyFont="1" applyFill="1" applyBorder="1" applyAlignment="1">
      <alignment vertical="center" wrapText="1"/>
    </xf>
    <xf numFmtId="166" fontId="4" fillId="11" borderId="2" xfId="0" applyNumberFormat="1" applyFont="1" applyFill="1" applyBorder="1" applyAlignment="1">
      <alignment vertical="center" wrapText="1"/>
    </xf>
    <xf numFmtId="4" fontId="22" fillId="11" borderId="2" xfId="0" applyNumberFormat="1" applyFont="1" applyFill="1" applyBorder="1" applyAlignment="1">
      <alignment horizontal="center" vertical="center"/>
    </xf>
    <xf numFmtId="2" fontId="15" fillId="10" borderId="109" xfId="0" applyNumberFormat="1" applyFont="1" applyFill="1" applyBorder="1" applyAlignment="1">
      <alignment horizontal="center" vertical="center" wrapText="1"/>
    </xf>
    <xf numFmtId="166" fontId="4" fillId="11" borderId="104" xfId="0" applyNumberFormat="1" applyFont="1" applyFill="1" applyBorder="1" applyAlignment="1">
      <alignment horizontal="center" vertical="center" wrapText="1"/>
    </xf>
    <xf numFmtId="4" fontId="4" fillId="11" borderId="104" xfId="0" applyNumberFormat="1" applyFont="1" applyFill="1" applyBorder="1" applyAlignment="1">
      <alignment horizontal="center" vertical="center" wrapText="1"/>
    </xf>
    <xf numFmtId="166" fontId="10" fillId="11" borderId="104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vertical="center"/>
    </xf>
    <xf numFmtId="2" fontId="11" fillId="10" borderId="2" xfId="0" applyNumberFormat="1" applyFont="1" applyFill="1" applyBorder="1" applyAlignment="1">
      <alignment vertical="center"/>
    </xf>
    <xf numFmtId="166" fontId="22" fillId="16" borderId="2" xfId="0" applyNumberFormat="1" applyFont="1" applyFill="1" applyBorder="1" applyAlignment="1">
      <alignment horizontal="center" vertical="center" wrapText="1"/>
    </xf>
    <xf numFmtId="173" fontId="17" fillId="11" borderId="13" xfId="0" applyNumberFormat="1" applyFont="1" applyFill="1" applyBorder="1" applyAlignment="1">
      <alignment horizontal="center" vertical="center" wrapText="1"/>
    </xf>
    <xf numFmtId="4" fontId="15" fillId="10" borderId="47" xfId="0" applyNumberFormat="1" applyFont="1" applyFill="1" applyBorder="1" applyAlignment="1">
      <alignment horizontal="center" vertical="center" wrapText="1"/>
    </xf>
    <xf numFmtId="3" fontId="27" fillId="10" borderId="2" xfId="0" applyNumberFormat="1" applyFont="1" applyFill="1" applyBorder="1" applyAlignment="1">
      <alignment horizontal="center" vertical="center" wrapText="1"/>
    </xf>
    <xf numFmtId="4" fontId="15" fillId="11" borderId="45" xfId="0" applyNumberFormat="1" applyFont="1" applyFill="1" applyBorder="1" applyAlignment="1">
      <alignment horizontal="center" vertical="center" wrapText="1"/>
    </xf>
    <xf numFmtId="4" fontId="15" fillId="11" borderId="107" xfId="0" applyNumberFormat="1" applyFont="1" applyFill="1" applyBorder="1" applyAlignment="1">
      <alignment horizontal="center" vertical="center" wrapText="1"/>
    </xf>
    <xf numFmtId="2" fontId="15" fillId="11" borderId="104" xfId="0" applyNumberFormat="1" applyFont="1" applyFill="1" applyBorder="1" applyAlignment="1">
      <alignment horizontal="center" vertical="center"/>
    </xf>
    <xf numFmtId="2" fontId="15" fillId="11" borderId="108" xfId="0" applyNumberFormat="1" applyFont="1" applyFill="1" applyBorder="1" applyAlignment="1">
      <alignment horizontal="center" vertical="center" wrapText="1"/>
    </xf>
    <xf numFmtId="2" fontId="15" fillId="11" borderId="47" xfId="0" applyNumberFormat="1" applyFont="1" applyFill="1" applyBorder="1" applyAlignment="1">
      <alignment horizontal="center" vertical="center" wrapText="1"/>
    </xf>
    <xf numFmtId="164" fontId="15" fillId="10" borderId="20" xfId="6" applyNumberFormat="1" applyFont="1" applyFill="1" applyBorder="1" applyAlignment="1">
      <alignment horizontal="center" vertical="center"/>
    </xf>
    <xf numFmtId="167" fontId="15" fillId="10" borderId="2" xfId="6" applyNumberFormat="1" applyFont="1" applyFill="1" applyBorder="1" applyAlignment="1">
      <alignment horizontal="center" vertical="center"/>
    </xf>
    <xf numFmtId="166" fontId="19" fillId="11" borderId="13" xfId="0" applyNumberFormat="1" applyFont="1" applyFill="1" applyBorder="1" applyAlignment="1">
      <alignment horizontal="center" vertical="center" wrapText="1"/>
    </xf>
    <xf numFmtId="0" fontId="6" fillId="10" borderId="20" xfId="6" applyFont="1" applyFill="1" applyBorder="1" applyAlignment="1">
      <alignment horizontal="center" vertical="center"/>
    </xf>
    <xf numFmtId="0" fontId="6" fillId="10" borderId="17" xfId="6" applyFont="1" applyFill="1" applyBorder="1" applyAlignment="1">
      <alignment horizontal="center" vertical="center"/>
    </xf>
    <xf numFmtId="167" fontId="15" fillId="10" borderId="17" xfId="6" applyNumberFormat="1" applyFont="1" applyFill="1" applyBorder="1" applyAlignment="1">
      <alignment horizontal="center" vertical="center"/>
    </xf>
    <xf numFmtId="166" fontId="4" fillId="11" borderId="13" xfId="0" applyNumberFormat="1" applyFont="1" applyFill="1" applyBorder="1" applyAlignment="1">
      <alignment horizontal="center" vertical="center" wrapText="1"/>
    </xf>
    <xf numFmtId="164" fontId="6" fillId="10" borderId="2" xfId="0" applyNumberFormat="1" applyFont="1" applyFill="1" applyBorder="1" applyAlignment="1">
      <alignment horizontal="center" vertical="center" wrapText="1"/>
    </xf>
    <xf numFmtId="166" fontId="15" fillId="11" borderId="123" xfId="0" applyNumberFormat="1" applyFont="1" applyFill="1" applyBorder="1" applyAlignment="1">
      <alignment horizontal="center" vertical="center" wrapText="1"/>
    </xf>
    <xf numFmtId="0" fontId="15" fillId="11" borderId="123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4" fontId="15" fillId="11" borderId="123" xfId="0" applyNumberFormat="1" applyFont="1" applyFill="1" applyBorder="1" applyAlignment="1">
      <alignment vertical="center" wrapText="1"/>
    </xf>
    <xf numFmtId="4" fontId="15" fillId="11" borderId="123" xfId="0" applyNumberFormat="1" applyFont="1" applyFill="1" applyBorder="1" applyAlignment="1">
      <alignment horizontal="center" vertical="center" wrapText="1"/>
    </xf>
    <xf numFmtId="166" fontId="18" fillId="11" borderId="123" xfId="0" applyNumberFormat="1" applyFont="1" applyFill="1" applyBorder="1" applyAlignment="1">
      <alignment horizontal="center" vertical="center" wrapText="1"/>
    </xf>
    <xf numFmtId="164" fontId="15" fillId="10" borderId="13" xfId="6" applyNumberFormat="1" applyFont="1" applyFill="1" applyBorder="1" applyAlignment="1">
      <alignment horizontal="center" vertical="center" wrapText="1"/>
    </xf>
    <xf numFmtId="4" fontId="15" fillId="10" borderId="13" xfId="6" applyNumberFormat="1" applyFont="1" applyFill="1" applyBorder="1" applyAlignment="1">
      <alignment vertical="center" wrapText="1"/>
    </xf>
    <xf numFmtId="4" fontId="15" fillId="10" borderId="45" xfId="6" applyNumberFormat="1" applyFont="1" applyFill="1" applyBorder="1" applyAlignment="1">
      <alignment vertical="center" wrapText="1"/>
    </xf>
    <xf numFmtId="173" fontId="15" fillId="10" borderId="54" xfId="0" applyNumberFormat="1" applyFont="1" applyFill="1" applyBorder="1" applyAlignment="1">
      <alignment horizontal="center" vertical="center" wrapText="1"/>
    </xf>
    <xf numFmtId="173" fontId="15" fillId="10" borderId="88" xfId="0" applyNumberFormat="1" applyFont="1" applyFill="1" applyBorder="1" applyAlignment="1">
      <alignment horizontal="center" vertical="center" wrapText="1"/>
    </xf>
    <xf numFmtId="168" fontId="15" fillId="10" borderId="123" xfId="0" applyNumberFormat="1" applyFont="1" applyFill="1" applyBorder="1" applyAlignment="1">
      <alignment horizontal="center" vertical="center" wrapText="1"/>
    </xf>
    <xf numFmtId="173" fontId="15" fillId="10" borderId="123" xfId="0" applyNumberFormat="1" applyFont="1" applyFill="1" applyBorder="1" applyAlignment="1">
      <alignment vertical="center" wrapText="1"/>
    </xf>
    <xf numFmtId="164" fontId="15" fillId="10" borderId="123" xfId="0" applyNumberFormat="1" applyFont="1" applyFill="1" applyBorder="1" applyAlignment="1">
      <alignment horizontal="center" vertical="center" wrapText="1"/>
    </xf>
    <xf numFmtId="14" fontId="6" fillId="10" borderId="123" xfId="0" applyNumberFormat="1" applyFont="1" applyFill="1" applyBorder="1" applyAlignment="1">
      <alignment horizontal="center" vertical="center" wrapText="1"/>
    </xf>
    <xf numFmtId="2" fontId="6" fillId="10" borderId="123" xfId="0" applyNumberFormat="1" applyFont="1" applyFill="1" applyBorder="1" applyAlignment="1">
      <alignment vertical="center" wrapText="1"/>
    </xf>
    <xf numFmtId="0" fontId="4" fillId="10" borderId="123" xfId="0" applyFont="1" applyFill="1" applyBorder="1" applyAlignment="1">
      <alignment vertical="center" wrapText="1"/>
    </xf>
    <xf numFmtId="2" fontId="6" fillId="10" borderId="123" xfId="0" applyNumberFormat="1" applyFont="1" applyFill="1" applyBorder="1" applyAlignment="1">
      <alignment horizontal="center" vertical="center" wrapText="1"/>
    </xf>
    <xf numFmtId="2" fontId="20" fillId="10" borderId="123" xfId="0" applyNumberFormat="1" applyFont="1" applyFill="1" applyBorder="1" applyAlignment="1">
      <alignment vertical="center"/>
    </xf>
    <xf numFmtId="165" fontId="15" fillId="11" borderId="123" xfId="0" applyNumberFormat="1" applyFont="1" applyFill="1" applyBorder="1" applyAlignment="1">
      <alignment horizontal="center" vertical="center" wrapText="1"/>
    </xf>
    <xf numFmtId="0" fontId="11" fillId="10" borderId="123" xfId="0" applyFont="1" applyFill="1" applyBorder="1" applyAlignment="1">
      <alignment horizontal="center" vertical="center" wrapText="1"/>
    </xf>
    <xf numFmtId="0" fontId="22" fillId="11" borderId="123" xfId="0" applyFont="1" applyFill="1" applyBorder="1" applyAlignment="1">
      <alignment horizontal="left" vertical="center"/>
    </xf>
    <xf numFmtId="166" fontId="22" fillId="11" borderId="123" xfId="0" applyNumberFormat="1" applyFont="1" applyFill="1" applyBorder="1" applyAlignment="1">
      <alignment horizontal="center" vertical="center"/>
    </xf>
    <xf numFmtId="0" fontId="22" fillId="11" borderId="123" xfId="0" applyFont="1" applyFill="1" applyBorder="1" applyAlignment="1">
      <alignment horizontal="center" vertical="center"/>
    </xf>
    <xf numFmtId="165" fontId="22" fillId="11" borderId="123" xfId="0" applyNumberFormat="1" applyFont="1" applyFill="1" applyBorder="1" applyAlignment="1">
      <alignment horizontal="center" vertical="center"/>
    </xf>
    <xf numFmtId="0" fontId="12" fillId="11" borderId="123" xfId="0" applyFont="1" applyFill="1" applyBorder="1" applyAlignment="1">
      <alignment horizontal="center" vertical="center"/>
    </xf>
    <xf numFmtId="0" fontId="6" fillId="10" borderId="107" xfId="0" applyFont="1" applyFill="1" applyBorder="1"/>
    <xf numFmtId="0" fontId="12" fillId="10" borderId="107" xfId="0" applyFont="1" applyFill="1" applyBorder="1" applyAlignment="1">
      <alignment vertical="center" wrapText="1"/>
    </xf>
    <xf numFmtId="166" fontId="12" fillId="10" borderId="123" xfId="0" applyNumberFormat="1" applyFont="1" applyFill="1" applyBorder="1" applyAlignment="1">
      <alignment horizontal="center" vertical="center" wrapText="1"/>
    </xf>
    <xf numFmtId="0" fontId="12" fillId="10" borderId="123" xfId="0" applyFont="1" applyFill="1" applyBorder="1" applyAlignment="1">
      <alignment horizontal="center" vertical="center" wrapText="1"/>
    </xf>
    <xf numFmtId="166" fontId="12" fillId="10" borderId="107" xfId="0" applyNumberFormat="1" applyFont="1" applyFill="1" applyBorder="1" applyAlignment="1">
      <alignment horizontal="center" vertical="center" wrapText="1"/>
    </xf>
    <xf numFmtId="0" fontId="19" fillId="10" borderId="104" xfId="0" applyFont="1" applyFill="1" applyBorder="1" applyAlignment="1">
      <alignment horizontal="center" vertical="center" wrapText="1"/>
    </xf>
    <xf numFmtId="0" fontId="19" fillId="10" borderId="123" xfId="0" applyFont="1" applyFill="1" applyBorder="1" applyAlignment="1">
      <alignment horizontal="center" vertical="center" wrapText="1"/>
    </xf>
    <xf numFmtId="0" fontId="19" fillId="10" borderId="127" xfId="0" applyFont="1" applyFill="1" applyBorder="1" applyAlignment="1">
      <alignment horizontal="center" vertical="center" wrapText="1"/>
    </xf>
    <xf numFmtId="0" fontId="15" fillId="10" borderId="114" xfId="0" applyFont="1" applyFill="1" applyBorder="1" applyAlignment="1">
      <alignment horizontal="center" vertical="center" wrapText="1"/>
    </xf>
    <xf numFmtId="0" fontId="15" fillId="10" borderId="128" xfId="0" applyFont="1" applyFill="1" applyBorder="1" applyAlignment="1">
      <alignment horizontal="center" vertical="center" wrapText="1"/>
    </xf>
    <xf numFmtId="4" fontId="15" fillId="10" borderId="127" xfId="0" applyNumberFormat="1" applyFont="1" applyFill="1" applyBorder="1" applyAlignment="1">
      <alignment horizontal="center" wrapText="1"/>
    </xf>
    <xf numFmtId="4" fontId="15" fillId="10" borderId="121" xfId="0" applyNumberFormat="1" applyFont="1" applyFill="1" applyBorder="1" applyAlignment="1">
      <alignment horizontal="center" vertical="center" wrapText="1"/>
    </xf>
    <xf numFmtId="0" fontId="15" fillId="10" borderId="123" xfId="0" applyFont="1" applyFill="1" applyBorder="1"/>
    <xf numFmtId="166" fontId="15" fillId="10" borderId="123" xfId="0" applyNumberFormat="1" applyFont="1" applyFill="1" applyBorder="1" applyAlignment="1">
      <alignment horizontal="center" vertical="center" wrapText="1"/>
    </xf>
    <xf numFmtId="4" fontId="15" fillId="10" borderId="123" xfId="0" applyNumberFormat="1" applyFont="1" applyFill="1" applyBorder="1" applyAlignment="1">
      <alignment horizontal="center" wrapText="1"/>
    </xf>
    <xf numFmtId="166" fontId="27" fillId="10" borderId="127" xfId="0" applyNumberFormat="1" applyFont="1" applyFill="1" applyBorder="1" applyAlignment="1">
      <alignment horizontal="center" vertical="center" wrapText="1"/>
    </xf>
    <xf numFmtId="0" fontId="4" fillId="10" borderId="127" xfId="0" applyFont="1" applyFill="1" applyBorder="1" applyAlignment="1">
      <alignment horizontal="center" vertical="center" wrapText="1"/>
    </xf>
    <xf numFmtId="4" fontId="27" fillId="10" borderId="128" xfId="0" applyNumberFormat="1" applyFont="1" applyFill="1" applyBorder="1" applyAlignment="1">
      <alignment horizontal="center" vertical="center" wrapText="1"/>
    </xf>
    <xf numFmtId="0" fontId="27" fillId="10" borderId="123" xfId="0" applyFont="1" applyFill="1" applyBorder="1" applyAlignment="1">
      <alignment horizontal="center" vertical="center" wrapText="1"/>
    </xf>
    <xf numFmtId="166" fontId="15" fillId="15" borderId="123" xfId="0" applyNumberFormat="1" applyFont="1" applyFill="1" applyBorder="1" applyAlignment="1">
      <alignment horizontal="center" vertical="center" wrapText="1"/>
    </xf>
    <xf numFmtId="4" fontId="27" fillId="10" borderId="123" xfId="0" applyNumberFormat="1" applyFont="1" applyFill="1" applyBorder="1" applyAlignment="1">
      <alignment horizontal="center" vertical="center" wrapText="1"/>
    </xf>
    <xf numFmtId="166" fontId="27" fillId="10" borderId="108" xfId="0" applyNumberFormat="1" applyFont="1" applyFill="1" applyBorder="1" applyAlignment="1">
      <alignment horizontal="center" vertical="center" wrapText="1"/>
    </xf>
    <xf numFmtId="0" fontId="27" fillId="10" borderId="107" xfId="0" applyFont="1" applyFill="1" applyBorder="1" applyAlignment="1">
      <alignment horizontal="center" vertical="center" wrapText="1"/>
    </xf>
    <xf numFmtId="0" fontId="10" fillId="10" borderId="123" xfId="0" applyFont="1" applyFill="1" applyBorder="1" applyAlignment="1">
      <alignment horizontal="center" vertical="center" wrapText="1"/>
    </xf>
    <xf numFmtId="0" fontId="12" fillId="10" borderId="127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left" vertical="center"/>
    </xf>
    <xf numFmtId="3" fontId="27" fillId="10" borderId="123" xfId="0" applyNumberFormat="1" applyFont="1" applyFill="1" applyBorder="1" applyAlignment="1">
      <alignment horizontal="center" vertical="center" wrapText="1"/>
    </xf>
    <xf numFmtId="0" fontId="11" fillId="11" borderId="123" xfId="0" applyFont="1" applyFill="1" applyBorder="1" applyAlignment="1">
      <alignment horizontal="center" vertical="center"/>
    </xf>
    <xf numFmtId="164" fontId="15" fillId="11" borderId="123" xfId="0" applyNumberFormat="1" applyFont="1" applyFill="1" applyBorder="1" applyAlignment="1">
      <alignment horizontal="center" vertical="center"/>
    </xf>
    <xf numFmtId="0" fontId="6" fillId="10" borderId="123" xfId="0" applyFont="1" applyFill="1" applyBorder="1"/>
    <xf numFmtId="0" fontId="12" fillId="10" borderId="123" xfId="0" applyFont="1" applyFill="1" applyBorder="1" applyAlignment="1">
      <alignment vertical="center" wrapText="1"/>
    </xf>
    <xf numFmtId="0" fontId="10" fillId="0" borderId="123" xfId="0" applyFont="1" applyBorder="1" applyAlignment="1">
      <alignment horizontal="center" vertical="center" wrapText="1"/>
    </xf>
    <xf numFmtId="3" fontId="18" fillId="11" borderId="127" xfId="0" applyNumberFormat="1" applyFont="1" applyFill="1" applyBorder="1" applyAlignment="1">
      <alignment horizontal="center" vertical="center" wrapText="1"/>
    </xf>
    <xf numFmtId="166" fontId="18" fillId="11" borderId="127" xfId="0" applyNumberFormat="1" applyFont="1" applyFill="1" applyBorder="1" applyAlignment="1">
      <alignment horizontal="center" vertical="center" wrapText="1"/>
    </xf>
    <xf numFmtId="166" fontId="37" fillId="10" borderId="127" xfId="0" applyNumberFormat="1" applyFont="1" applyFill="1" applyBorder="1" applyAlignment="1">
      <alignment horizontal="left" vertical="center" wrapText="1"/>
    </xf>
    <xf numFmtId="166" fontId="18" fillId="10" borderId="127" xfId="0" applyNumberFormat="1" applyFont="1" applyFill="1" applyBorder="1" applyAlignment="1">
      <alignment horizontal="center" vertical="center" wrapText="1"/>
    </xf>
    <xf numFmtId="4" fontId="18" fillId="11" borderId="127" xfId="0" applyNumberFormat="1" applyFont="1" applyFill="1" applyBorder="1" applyAlignment="1">
      <alignment horizontal="center" vertical="center" wrapText="1"/>
    </xf>
    <xf numFmtId="3" fontId="10" fillId="11" borderId="123" xfId="0" applyNumberFormat="1" applyFont="1" applyFill="1" applyBorder="1" applyAlignment="1">
      <alignment horizontal="center" vertical="center" wrapText="1"/>
    </xf>
    <xf numFmtId="166" fontId="4" fillId="11" borderId="123" xfId="0" applyNumberFormat="1" applyFont="1" applyFill="1" applyBorder="1" applyAlignment="1">
      <alignment horizontal="center" vertical="center" wrapText="1"/>
    </xf>
    <xf numFmtId="172" fontId="18" fillId="11" borderId="13" xfId="0" applyNumberFormat="1" applyFont="1" applyFill="1" applyBorder="1" applyAlignment="1">
      <alignment horizontal="center" vertical="center" wrapText="1"/>
    </xf>
    <xf numFmtId="4" fontId="4" fillId="11" borderId="123" xfId="0" applyNumberFormat="1" applyFont="1" applyFill="1" applyBorder="1" applyAlignment="1">
      <alignment horizontal="center" vertical="center" wrapText="1"/>
    </xf>
    <xf numFmtId="166" fontId="10" fillId="11" borderId="123" xfId="0" applyNumberFormat="1" applyFont="1" applyFill="1" applyBorder="1" applyAlignment="1">
      <alignment horizontal="center" vertical="center" wrapText="1"/>
    </xf>
    <xf numFmtId="165" fontId="4" fillId="11" borderId="123" xfId="0" applyNumberFormat="1" applyFont="1" applyFill="1" applyBorder="1" applyAlignment="1">
      <alignment horizontal="center" vertical="center" wrapText="1"/>
    </xf>
    <xf numFmtId="0" fontId="6" fillId="11" borderId="123" xfId="0" applyFont="1" applyFill="1" applyBorder="1" applyAlignment="1">
      <alignment horizontal="center" vertical="center" wrapText="1"/>
    </xf>
    <xf numFmtId="0" fontId="4" fillId="11" borderId="123" xfId="0" applyFont="1" applyFill="1" applyBorder="1" applyAlignment="1">
      <alignment horizontal="center" vertical="center"/>
    </xf>
    <xf numFmtId="166" fontId="22" fillId="11" borderId="123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4" fillId="10" borderId="104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0" borderId="40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5" xfId="0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center" vertical="center" wrapText="1"/>
    </xf>
    <xf numFmtId="0" fontId="15" fillId="11" borderId="4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4" fontId="15" fillId="10" borderId="49" xfId="0" applyNumberFormat="1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vertical="center" wrapText="1"/>
    </xf>
    <xf numFmtId="4" fontId="15" fillId="10" borderId="13" xfId="0" applyNumberFormat="1" applyFont="1" applyFill="1" applyBorder="1" applyAlignment="1">
      <alignment horizontal="center" vertical="center" wrapText="1"/>
    </xf>
    <xf numFmtId="166" fontId="11" fillId="10" borderId="2" xfId="0" applyNumberFormat="1" applyFont="1" applyFill="1" applyBorder="1" applyAlignment="1">
      <alignment horizontal="center" vertical="center" wrapText="1"/>
    </xf>
    <xf numFmtId="0" fontId="4" fillId="10" borderId="107" xfId="0" applyFont="1" applyFill="1" applyBorder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5" fillId="10" borderId="58" xfId="0" applyNumberFormat="1" applyFont="1" applyFill="1" applyBorder="1" applyAlignment="1">
      <alignment horizontal="center" vertical="center" wrapText="1"/>
    </xf>
    <xf numFmtId="4" fontId="11" fillId="10" borderId="2" xfId="0" applyNumberFormat="1" applyFont="1" applyFill="1" applyBorder="1" applyAlignment="1">
      <alignment horizontal="center" vertical="center" wrapText="1"/>
    </xf>
    <xf numFmtId="166" fontId="15" fillId="10" borderId="40" xfId="0" applyNumberFormat="1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>
      <alignment horizontal="center" vertical="center" wrapText="1"/>
    </xf>
    <xf numFmtId="0" fontId="15" fillId="11" borderId="44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5" fillId="10" borderId="104" xfId="0" applyFont="1" applyFill="1" applyBorder="1" applyAlignment="1">
      <alignment horizontal="center" vertical="center" wrapText="1"/>
    </xf>
    <xf numFmtId="4" fontId="15" fillId="10" borderId="45" xfId="0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4" fontId="15" fillId="10" borderId="46" xfId="0" applyNumberFormat="1" applyFont="1" applyFill="1" applyBorder="1" applyAlignment="1">
      <alignment horizontal="center" vertical="center" wrapText="1"/>
    </xf>
    <xf numFmtId="4" fontId="15" fillId="10" borderId="91" xfId="0" applyNumberFormat="1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0" borderId="80" xfId="0" applyFont="1" applyFill="1" applyBorder="1" applyAlignment="1">
      <alignment horizontal="center" vertical="center" wrapText="1"/>
    </xf>
    <xf numFmtId="0" fontId="15" fillId="10" borderId="9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2" fontId="19" fillId="10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 wrapText="1"/>
    </xf>
    <xf numFmtId="4" fontId="15" fillId="10" borderId="44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11" borderId="93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10" borderId="45" xfId="0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>
      <alignment horizontal="center" vertical="center" wrapText="1"/>
    </xf>
    <xf numFmtId="2" fontId="15" fillId="10" borderId="40" xfId="0" applyNumberFormat="1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2" fontId="15" fillId="10" borderId="45" xfId="0" applyNumberFormat="1" applyFont="1" applyFill="1" applyBorder="1" applyAlignment="1">
      <alignment horizontal="center" vertical="center" wrapText="1"/>
    </xf>
    <xf numFmtId="166" fontId="15" fillId="10" borderId="39" xfId="0" applyNumberFormat="1" applyFont="1" applyFill="1" applyBorder="1" applyAlignment="1">
      <alignment horizontal="center" vertical="center" wrapText="1"/>
    </xf>
    <xf numFmtId="4" fontId="15" fillId="10" borderId="104" xfId="0" applyNumberFormat="1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2" fontId="6" fillId="10" borderId="2" xfId="0" applyNumberFormat="1" applyFont="1" applyFill="1" applyBorder="1" applyAlignment="1">
      <alignment horizontal="center" vertical="center" wrapText="1"/>
    </xf>
    <xf numFmtId="0" fontId="15" fillId="10" borderId="107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4" fillId="10" borderId="89" xfId="0" applyFont="1" applyFill="1" applyBorder="1" applyAlignment="1">
      <alignment horizontal="center" vertical="center" wrapText="1"/>
    </xf>
    <xf numFmtId="4" fontId="15" fillId="10" borderId="15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15" fillId="10" borderId="51" xfId="0" applyFont="1" applyFill="1" applyBorder="1" applyAlignment="1">
      <alignment horizontal="center" vertical="center" wrapText="1"/>
    </xf>
    <xf numFmtId="166" fontId="15" fillId="10" borderId="80" xfId="0" applyNumberFormat="1" applyFont="1" applyFill="1" applyBorder="1" applyAlignment="1">
      <alignment horizontal="center" vertical="center" wrapText="1"/>
    </xf>
    <xf numFmtId="166" fontId="15" fillId="10" borderId="89" xfId="0" applyNumberFormat="1" applyFont="1" applyFill="1" applyBorder="1" applyAlignment="1">
      <alignment horizontal="center" vertical="center" wrapText="1"/>
    </xf>
    <xf numFmtId="2" fontId="15" fillId="10" borderId="4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left" vertical="center" wrapText="1"/>
    </xf>
    <xf numFmtId="3" fontId="10" fillId="10" borderId="2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center" vertical="center" wrapText="1"/>
    </xf>
    <xf numFmtId="166" fontId="10" fillId="10" borderId="2" xfId="0" applyNumberFormat="1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4" fontId="11" fillId="10" borderId="13" xfId="0" applyNumberFormat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left" vertical="center" wrapText="1"/>
    </xf>
    <xf numFmtId="0" fontId="15" fillId="10" borderId="43" xfId="0" applyFont="1" applyFill="1" applyBorder="1" applyAlignment="1">
      <alignment horizontal="center" vertical="center" wrapText="1"/>
    </xf>
    <xf numFmtId="165" fontId="15" fillId="10" borderId="13" xfId="0" applyNumberFormat="1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 vertical="center"/>
    </xf>
    <xf numFmtId="4" fontId="4" fillId="10" borderId="2" xfId="0" applyNumberFormat="1" applyFont="1" applyFill="1" applyBorder="1" applyAlignment="1">
      <alignment horizontal="center" vertical="center" wrapText="1"/>
    </xf>
    <xf numFmtId="3" fontId="15" fillId="10" borderId="89" xfId="0" applyNumberFormat="1" applyFont="1" applyFill="1" applyBorder="1" applyAlignment="1">
      <alignment horizontal="center" vertical="center" wrapText="1"/>
    </xf>
    <xf numFmtId="164" fontId="15" fillId="10" borderId="40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 wrapText="1"/>
    </xf>
    <xf numFmtId="166" fontId="11" fillId="10" borderId="13" xfId="0" applyNumberFormat="1" applyFont="1" applyFill="1" applyBorder="1" applyAlignment="1">
      <alignment horizontal="center" vertical="center" wrapText="1"/>
    </xf>
    <xf numFmtId="4" fontId="19" fillId="10" borderId="12" xfId="0" applyNumberFormat="1" applyFont="1" applyFill="1" applyBorder="1" applyAlignment="1">
      <alignment horizontal="center" vertical="center" wrapText="1"/>
    </xf>
    <xf numFmtId="4" fontId="19" fillId="10" borderId="1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4" fillId="11" borderId="107" xfId="0" applyNumberFormat="1" applyFont="1" applyFill="1" applyBorder="1" applyAlignment="1">
      <alignment horizontal="center" vertical="center" wrapText="1"/>
    </xf>
    <xf numFmtId="3" fontId="4" fillId="11" borderId="13" xfId="0" applyNumberFormat="1" applyFont="1" applyFill="1" applyBorder="1" applyAlignment="1">
      <alignment horizontal="center" vertical="center" wrapText="1"/>
    </xf>
    <xf numFmtId="164" fontId="15" fillId="10" borderId="12" xfId="0" applyNumberFormat="1" applyFont="1" applyFill="1" applyBorder="1" applyAlignment="1">
      <alignment horizontal="center" vertical="center" wrapText="1"/>
    </xf>
    <xf numFmtId="164" fontId="15" fillId="10" borderId="13" xfId="0" applyNumberFormat="1" applyFont="1" applyFill="1" applyBorder="1" applyAlignment="1">
      <alignment horizontal="center" vertical="center" wrapText="1"/>
    </xf>
    <xf numFmtId="167" fontId="15" fillId="10" borderId="12" xfId="0" applyNumberFormat="1" applyFont="1" applyFill="1" applyBorder="1" applyAlignment="1">
      <alignment horizontal="center" vertical="center" wrapText="1"/>
    </xf>
    <xf numFmtId="167" fontId="15" fillId="10" borderId="13" xfId="0" applyNumberFormat="1" applyFont="1" applyFill="1" applyBorder="1" applyAlignment="1">
      <alignment horizontal="center" vertical="center" wrapText="1"/>
    </xf>
    <xf numFmtId="0" fontId="4" fillId="10" borderId="2" xfId="6" applyFont="1" applyFill="1" applyBorder="1" applyAlignment="1">
      <alignment horizontal="center" vertical="center" wrapText="1"/>
    </xf>
    <xf numFmtId="0" fontId="6" fillId="10" borderId="2" xfId="6" applyFont="1" applyFill="1" applyBorder="1" applyAlignment="1">
      <alignment horizontal="center" vertical="center" wrapText="1"/>
    </xf>
    <xf numFmtId="2" fontId="6" fillId="10" borderId="2" xfId="6" applyNumberFormat="1" applyFont="1" applyFill="1" applyBorder="1" applyAlignment="1">
      <alignment horizontal="center" vertical="center" wrapText="1"/>
    </xf>
    <xf numFmtId="3" fontId="15" fillId="10" borderId="12" xfId="0" applyNumberFormat="1" applyFont="1" applyFill="1" applyBorder="1" applyAlignment="1">
      <alignment horizontal="center" vertical="center" wrapText="1"/>
    </xf>
    <xf numFmtId="3" fontId="15" fillId="10" borderId="13" xfId="0" applyNumberFormat="1" applyFont="1" applyFill="1" applyBorder="1" applyAlignment="1">
      <alignment horizontal="center" vertical="center" wrapText="1"/>
    </xf>
    <xf numFmtId="166" fontId="15" fillId="10" borderId="12" xfId="0" applyNumberFormat="1" applyFont="1" applyFill="1" applyBorder="1" applyAlignment="1">
      <alignment horizontal="left" vertical="center" wrapText="1"/>
    </xf>
    <xf numFmtId="166" fontId="15" fillId="10" borderId="13" xfId="0" applyNumberFormat="1" applyFont="1" applyFill="1" applyBorder="1" applyAlignment="1">
      <alignment horizontal="left" vertical="center" wrapText="1"/>
    </xf>
    <xf numFmtId="166" fontId="15" fillId="10" borderId="12" xfId="0" applyNumberFormat="1" applyFont="1" applyFill="1" applyBorder="1" applyAlignment="1">
      <alignment horizontal="center" vertical="center" wrapText="1"/>
    </xf>
    <xf numFmtId="166" fontId="15" fillId="10" borderId="13" xfId="0" applyNumberFormat="1" applyFont="1" applyFill="1" applyBorder="1" applyAlignment="1">
      <alignment horizontal="center" vertical="center" wrapText="1"/>
    </xf>
    <xf numFmtId="165" fontId="15" fillId="10" borderId="12" xfId="0" applyNumberFormat="1" applyFont="1" applyFill="1" applyBorder="1" applyAlignment="1">
      <alignment horizontal="center" vertical="center" wrapText="1"/>
    </xf>
    <xf numFmtId="3" fontId="27" fillId="10" borderId="12" xfId="0" applyNumberFormat="1" applyFont="1" applyFill="1" applyBorder="1" applyAlignment="1">
      <alignment horizontal="center" vertical="center" wrapText="1"/>
    </xf>
    <xf numFmtId="3" fontId="27" fillId="10" borderId="13" xfId="0" applyNumberFormat="1" applyFont="1" applyFill="1" applyBorder="1" applyAlignment="1">
      <alignment horizontal="center" vertical="center" wrapText="1"/>
    </xf>
    <xf numFmtId="164" fontId="15" fillId="11" borderId="13" xfId="0" applyNumberFormat="1" applyFont="1" applyFill="1" applyBorder="1" applyAlignment="1">
      <alignment horizontal="center" vertical="center"/>
    </xf>
    <xf numFmtId="166" fontId="15" fillId="10" borderId="127" xfId="0" applyNumberFormat="1" applyFont="1" applyFill="1" applyBorder="1" applyAlignment="1">
      <alignment horizontal="center" vertical="center" wrapText="1"/>
    </xf>
    <xf numFmtId="166" fontId="15" fillId="10" borderId="107" xfId="0" applyNumberFormat="1" applyFont="1" applyFill="1" applyBorder="1" applyAlignment="1">
      <alignment horizontal="center" vertical="center" wrapText="1"/>
    </xf>
    <xf numFmtId="0" fontId="15" fillId="10" borderId="127" xfId="0" applyFont="1" applyFill="1" applyBorder="1" applyAlignment="1">
      <alignment horizontal="center" vertical="center" wrapText="1"/>
    </xf>
    <xf numFmtId="2" fontId="15" fillId="10" borderId="127" xfId="0" applyNumberFormat="1" applyFont="1" applyFill="1" applyBorder="1" applyAlignment="1">
      <alignment horizontal="center" vertical="center" wrapText="1"/>
    </xf>
    <xf numFmtId="4" fontId="15" fillId="10" borderId="127" xfId="0" applyNumberFormat="1" applyFont="1" applyFill="1" applyBorder="1" applyAlignment="1">
      <alignment horizontal="center" vertical="center" wrapText="1"/>
    </xf>
    <xf numFmtId="4" fontId="15" fillId="11" borderId="104" xfId="0" applyNumberFormat="1" applyFont="1" applyFill="1" applyBorder="1" applyAlignment="1">
      <alignment horizontal="center" vertical="center" wrapText="1"/>
    </xf>
    <xf numFmtId="4" fontId="15" fillId="11" borderId="13" xfId="0" applyNumberFormat="1" applyFont="1" applyFill="1" applyBorder="1" applyAlignment="1">
      <alignment horizontal="center" vertical="center" wrapText="1"/>
    </xf>
    <xf numFmtId="2" fontId="15" fillId="11" borderId="13" xfId="0" applyNumberFormat="1" applyFont="1" applyFill="1" applyBorder="1" applyAlignment="1">
      <alignment horizontal="center" vertical="center" wrapText="1"/>
    </xf>
    <xf numFmtId="0" fontId="15" fillId="10" borderId="120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166" fontId="15" fillId="11" borderId="12" xfId="0" applyNumberFormat="1" applyFont="1" applyFill="1" applyBorder="1" applyAlignment="1">
      <alignment horizontal="center" vertical="center" wrapText="1"/>
    </xf>
    <xf numFmtId="166" fontId="15" fillId="11" borderId="13" xfId="0" applyNumberFormat="1" applyFont="1" applyFill="1" applyBorder="1" applyAlignment="1">
      <alignment horizontal="center" vertical="center" wrapText="1"/>
    </xf>
    <xf numFmtId="3" fontId="15" fillId="11" borderId="107" xfId="0" applyNumberFormat="1" applyFont="1" applyFill="1" applyBorder="1" applyAlignment="1">
      <alignment horizontal="center" vertical="center" wrapText="1"/>
    </xf>
    <xf numFmtId="166" fontId="15" fillId="11" borderId="107" xfId="0" applyNumberFormat="1" applyFont="1" applyFill="1" applyBorder="1" applyAlignment="1">
      <alignment horizontal="center" vertical="center" wrapText="1"/>
    </xf>
    <xf numFmtId="166" fontId="15" fillId="11" borderId="104" xfId="0" applyNumberFormat="1" applyFont="1" applyFill="1" applyBorder="1" applyAlignment="1">
      <alignment horizontal="center" vertical="center" wrapText="1"/>
    </xf>
    <xf numFmtId="166" fontId="15" fillId="10" borderId="107" xfId="0" applyNumberFormat="1" applyFont="1" applyFill="1" applyBorder="1" applyAlignment="1">
      <alignment horizontal="left" vertical="center" wrapText="1"/>
    </xf>
    <xf numFmtId="166" fontId="15" fillId="10" borderId="104" xfId="0" applyNumberFormat="1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3" fontId="15" fillId="11" borderId="12" xfId="0" applyNumberFormat="1" applyFont="1" applyFill="1" applyBorder="1" applyAlignment="1">
      <alignment horizontal="center" vertical="center" wrapText="1"/>
    </xf>
    <xf numFmtId="3" fontId="15" fillId="11" borderId="13" xfId="0" applyNumberFormat="1" applyFont="1" applyFill="1" applyBorder="1" applyAlignment="1">
      <alignment horizontal="center" vertical="center" wrapText="1"/>
    </xf>
    <xf numFmtId="0" fontId="15" fillId="10" borderId="13" xfId="2" applyFont="1" applyFill="1" applyBorder="1" applyAlignment="1">
      <alignment horizontal="center" vertical="center" wrapText="1"/>
    </xf>
    <xf numFmtId="2" fontId="6" fillId="10" borderId="20" xfId="6" applyNumberFormat="1" applyFont="1" applyFill="1" applyBorder="1" applyAlignment="1">
      <alignment horizontal="center" vertical="center" wrapText="1"/>
    </xf>
    <xf numFmtId="2" fontId="6" fillId="10" borderId="17" xfId="6" applyNumberFormat="1" applyFont="1" applyFill="1" applyBorder="1" applyAlignment="1">
      <alignment horizontal="center" vertical="center" wrapText="1"/>
    </xf>
    <xf numFmtId="4" fontId="15" fillId="10" borderId="12" xfId="0" applyNumberFormat="1" applyFont="1" applyFill="1" applyBorder="1" applyAlignment="1">
      <alignment horizontal="center" vertical="center" wrapText="1"/>
    </xf>
    <xf numFmtId="3" fontId="4" fillId="11" borderId="2" xfId="0" applyNumberFormat="1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/>
    </xf>
    <xf numFmtId="166" fontId="15" fillId="11" borderId="15" xfId="0" applyNumberFormat="1" applyFont="1" applyFill="1" applyBorder="1" applyAlignment="1">
      <alignment horizontal="center" vertical="center" wrapText="1"/>
    </xf>
    <xf numFmtId="166" fontId="15" fillId="11" borderId="44" xfId="0" applyNumberFormat="1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166" fontId="11" fillId="10" borderId="13" xfId="0" applyNumberFormat="1" applyFont="1" applyFill="1" applyBorder="1" applyAlignment="1">
      <alignment horizontal="left" vertical="center" wrapText="1"/>
    </xf>
    <xf numFmtId="164" fontId="11" fillId="10" borderId="13" xfId="0" applyNumberFormat="1" applyFont="1" applyFill="1" applyBorder="1" applyAlignment="1">
      <alignment horizontal="center" vertical="center" wrapText="1"/>
    </xf>
    <xf numFmtId="167" fontId="11" fillId="10" borderId="13" xfId="0" applyNumberFormat="1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/>
    </xf>
    <xf numFmtId="0" fontId="15" fillId="10" borderId="93" xfId="0" applyFont="1" applyFill="1" applyBorder="1" applyAlignment="1">
      <alignment horizontal="center" vertical="center" wrapText="1"/>
    </xf>
    <xf numFmtId="3" fontId="15" fillId="10" borderId="12" xfId="0" applyNumberFormat="1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left" vertical="center" wrapText="1"/>
    </xf>
    <xf numFmtId="2" fontId="15" fillId="11" borderId="12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49" fontId="15" fillId="11" borderId="107" xfId="0" applyNumberFormat="1" applyFont="1" applyFill="1" applyBorder="1" applyAlignment="1">
      <alignment horizontal="center" vertical="center" wrapText="1"/>
    </xf>
    <xf numFmtId="4" fontId="15" fillId="11" borderId="12" xfId="0" applyNumberFormat="1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center" wrapText="1"/>
    </xf>
    <xf numFmtId="173" fontId="6" fillId="10" borderId="12" xfId="0" applyNumberFormat="1" applyFont="1" applyFill="1" applyBorder="1" applyAlignment="1">
      <alignment horizontal="center" vertical="center" wrapText="1"/>
    </xf>
    <xf numFmtId="0" fontId="15" fillId="11" borderId="104" xfId="0" applyFont="1" applyFill="1" applyBorder="1" applyAlignment="1">
      <alignment horizontal="center" vertical="center"/>
    </xf>
    <xf numFmtId="0" fontId="15" fillId="11" borderId="93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14" fontId="6" fillId="10" borderId="13" xfId="0" applyNumberFormat="1" applyFont="1" applyFill="1" applyBorder="1" applyAlignment="1">
      <alignment horizontal="center" vertical="center" wrapText="1"/>
    </xf>
    <xf numFmtId="2" fontId="6" fillId="11" borderId="13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166" fontId="4" fillId="11" borderId="13" xfId="0" applyNumberFormat="1" applyFont="1" applyFill="1" applyBorder="1" applyAlignment="1">
      <alignment horizontal="center" vertical="center" wrapText="1"/>
    </xf>
    <xf numFmtId="166" fontId="27" fillId="10" borderId="12" xfId="0" applyNumberFormat="1" applyFont="1" applyFill="1" applyBorder="1" applyAlignment="1">
      <alignment horizontal="center" vertical="center" wrapText="1"/>
    </xf>
    <xf numFmtId="166" fontId="27" fillId="10" borderId="13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166" fontId="27" fillId="10" borderId="107" xfId="0" applyNumberFormat="1" applyFont="1" applyFill="1" applyBorder="1" applyAlignment="1">
      <alignment horizontal="center" vertical="center" wrapText="1"/>
    </xf>
    <xf numFmtId="166" fontId="27" fillId="10" borderId="104" xfId="0" applyNumberFormat="1" applyFont="1" applyFill="1" applyBorder="1" applyAlignment="1">
      <alignment horizontal="center" vertical="center" wrapText="1"/>
    </xf>
    <xf numFmtId="166" fontId="15" fillId="10" borderId="93" xfId="0" applyNumberFormat="1" applyFont="1" applyFill="1" applyBorder="1" applyAlignment="1">
      <alignment horizontal="center" vertical="center" wrapText="1"/>
    </xf>
    <xf numFmtId="166" fontId="15" fillId="11" borderId="93" xfId="0" applyNumberFormat="1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/>
    </xf>
    <xf numFmtId="4" fontId="27" fillId="10" borderId="12" xfId="0" applyNumberFormat="1" applyFont="1" applyFill="1" applyBorder="1" applyAlignment="1">
      <alignment horizontal="center" vertical="center" wrapText="1"/>
    </xf>
    <xf numFmtId="4" fontId="27" fillId="10" borderId="13" xfId="0" applyNumberFormat="1" applyFont="1" applyFill="1" applyBorder="1" applyAlignment="1">
      <alignment horizontal="center" vertical="center" wrapText="1"/>
    </xf>
    <xf numFmtId="0" fontId="15" fillId="11" borderId="44" xfId="0" applyFont="1" applyFill="1" applyBorder="1" applyAlignment="1">
      <alignment horizontal="center" vertical="center"/>
    </xf>
    <xf numFmtId="166" fontId="15" fillId="11" borderId="2" xfId="0" applyNumberFormat="1" applyFont="1" applyFill="1" applyBorder="1" applyAlignment="1">
      <alignment horizontal="center" vertical="center" wrapText="1"/>
    </xf>
    <xf numFmtId="166" fontId="15" fillId="10" borderId="15" xfId="0" applyNumberFormat="1" applyFont="1" applyFill="1" applyBorder="1" applyAlignment="1">
      <alignment horizontal="center" vertical="center" wrapText="1"/>
    </xf>
    <xf numFmtId="166" fontId="27" fillId="10" borderId="40" xfId="0" applyNumberFormat="1" applyFont="1" applyFill="1" applyBorder="1" applyAlignment="1">
      <alignment horizontal="center" vertical="center" wrapText="1"/>
    </xf>
    <xf numFmtId="166" fontId="15" fillId="4" borderId="13" xfId="0" applyNumberFormat="1" applyFont="1" applyFill="1" applyBorder="1" applyAlignment="1">
      <alignment horizontal="center" vertical="center" wrapText="1"/>
    </xf>
    <xf numFmtId="167" fontId="15" fillId="11" borderId="12" xfId="0" applyNumberFormat="1" applyFont="1" applyFill="1" applyBorder="1" applyAlignment="1">
      <alignment horizontal="center" vertical="center" wrapText="1"/>
    </xf>
    <xf numFmtId="165" fontId="15" fillId="11" borderId="12" xfId="0" applyNumberFormat="1" applyFont="1" applyFill="1" applyBorder="1" applyAlignment="1">
      <alignment horizontal="center" vertical="center" wrapText="1"/>
    </xf>
    <xf numFmtId="165" fontId="15" fillId="11" borderId="13" xfId="0" applyNumberFormat="1" applyFont="1" applyFill="1" applyBorder="1" applyAlignment="1">
      <alignment horizontal="center" vertical="center" wrapText="1"/>
    </xf>
    <xf numFmtId="0" fontId="15" fillId="10" borderId="60" xfId="0" applyFont="1" applyFill="1" applyBorder="1" applyAlignment="1">
      <alignment horizontal="center" vertical="center" wrapText="1"/>
    </xf>
    <xf numFmtId="0" fontId="15" fillId="10" borderId="61" xfId="0" applyFont="1" applyFill="1" applyBorder="1" applyAlignment="1">
      <alignment horizontal="center" vertical="center" wrapText="1"/>
    </xf>
    <xf numFmtId="165" fontId="15" fillId="11" borderId="44" xfId="0" applyNumberFormat="1" applyFont="1" applyFill="1" applyBorder="1" applyAlignment="1">
      <alignment horizontal="center" vertical="center" wrapText="1"/>
    </xf>
    <xf numFmtId="2" fontId="15" fillId="10" borderId="12" xfId="0" applyNumberFormat="1" applyFont="1" applyFill="1" applyBorder="1" applyAlignment="1">
      <alignment horizontal="center" vertical="center" wrapText="1"/>
    </xf>
    <xf numFmtId="166" fontId="10" fillId="10" borderId="40" xfId="0" applyNumberFormat="1" applyFont="1" applyFill="1" applyBorder="1" applyAlignment="1">
      <alignment horizontal="center" vertical="center" wrapText="1"/>
    </xf>
    <xf numFmtId="4" fontId="15" fillId="10" borderId="107" xfId="0" applyNumberFormat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166" fontId="27" fillId="15" borderId="127" xfId="0" applyNumberFormat="1" applyFont="1" applyFill="1" applyBorder="1" applyAlignment="1">
      <alignment horizontal="center" vertical="center" wrapText="1"/>
    </xf>
    <xf numFmtId="166" fontId="27" fillId="15" borderId="15" xfId="0" applyNumberFormat="1" applyFont="1" applyFill="1" applyBorder="1" applyAlignment="1">
      <alignment horizontal="center" vertical="center" wrapText="1"/>
    </xf>
    <xf numFmtId="166" fontId="27" fillId="15" borderId="13" xfId="0" applyNumberFormat="1" applyFont="1" applyFill="1" applyBorder="1" applyAlignment="1">
      <alignment horizontal="center" vertical="center" wrapText="1"/>
    </xf>
    <xf numFmtId="166" fontId="27" fillId="10" borderId="15" xfId="0" applyNumberFormat="1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4" fontId="27" fillId="10" borderId="58" xfId="0" applyNumberFormat="1" applyFont="1" applyFill="1" applyBorder="1" applyAlignment="1">
      <alignment horizontal="center" vertical="center" wrapText="1"/>
    </xf>
    <xf numFmtId="4" fontId="15" fillId="11" borderId="42" xfId="0" applyNumberFormat="1" applyFont="1" applyFill="1" applyBorder="1" applyAlignment="1">
      <alignment horizontal="center" vertical="center" wrapText="1"/>
    </xf>
    <xf numFmtId="4" fontId="15" fillId="11" borderId="46" xfId="0" applyNumberFormat="1" applyFont="1" applyFill="1" applyBorder="1" applyAlignment="1">
      <alignment horizontal="center" vertical="center" wrapText="1"/>
    </xf>
    <xf numFmtId="166" fontId="27" fillId="10" borderId="80" xfId="0" applyNumberFormat="1" applyFont="1" applyFill="1" applyBorder="1" applyAlignment="1">
      <alignment horizontal="center" vertical="center" wrapText="1"/>
    </xf>
    <xf numFmtId="166" fontId="27" fillId="10" borderId="44" xfId="0" applyNumberFormat="1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4" fontId="15" fillId="11" borderId="49" xfId="0" applyNumberFormat="1" applyFont="1" applyFill="1" applyBorder="1" applyAlignment="1">
      <alignment horizontal="center" vertical="center" wrapText="1"/>
    </xf>
    <xf numFmtId="4" fontId="15" fillId="11" borderId="44" xfId="0" applyNumberFormat="1" applyFont="1" applyFill="1" applyBorder="1" applyAlignment="1">
      <alignment horizontal="center" vertical="center" wrapText="1"/>
    </xf>
    <xf numFmtId="166" fontId="10" fillId="10" borderId="12" xfId="0" applyNumberFormat="1" applyFont="1" applyFill="1" applyBorder="1" applyAlignment="1">
      <alignment horizontal="center" vertical="center" wrapText="1"/>
    </xf>
    <xf numFmtId="166" fontId="10" fillId="10" borderId="13" xfId="0" applyNumberFormat="1" applyFont="1" applyFill="1" applyBorder="1" applyAlignment="1">
      <alignment horizontal="center" vertical="center" wrapText="1"/>
    </xf>
    <xf numFmtId="4" fontId="15" fillId="11" borderId="91" xfId="0" applyNumberFormat="1" applyFont="1" applyFill="1" applyBorder="1" applyAlignment="1">
      <alignment horizontal="center" vertical="center" wrapText="1"/>
    </xf>
    <xf numFmtId="0" fontId="15" fillId="10" borderId="64" xfId="0" applyFont="1" applyFill="1" applyBorder="1" applyAlignment="1">
      <alignment horizontal="center" vertical="center" wrapText="1"/>
    </xf>
    <xf numFmtId="4" fontId="15" fillId="11" borderId="49" xfId="0" applyNumberFormat="1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 wrapText="1"/>
    </xf>
    <xf numFmtId="4" fontId="15" fillId="11" borderId="121" xfId="0" applyNumberFormat="1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 wrapText="1"/>
    </xf>
    <xf numFmtId="167" fontId="15" fillId="10" borderId="12" xfId="0" applyNumberFormat="1" applyFont="1" applyFill="1" applyBorder="1" applyAlignment="1">
      <alignment horizontal="center" vertical="center"/>
    </xf>
    <xf numFmtId="1" fontId="15" fillId="10" borderId="12" xfId="0" applyNumberFormat="1" applyFont="1" applyFill="1" applyBorder="1" applyAlignment="1">
      <alignment horizontal="center" vertical="center" wrapText="1"/>
    </xf>
    <xf numFmtId="0" fontId="4" fillId="10" borderId="97" xfId="6" applyFont="1" applyFill="1" applyBorder="1" applyAlignment="1">
      <alignment horizontal="center" vertical="center"/>
    </xf>
    <xf numFmtId="164" fontId="6" fillId="10" borderId="13" xfId="0" applyNumberFormat="1" applyFont="1" applyFill="1" applyBorder="1" applyAlignment="1">
      <alignment horizontal="center" vertical="center" wrapText="1"/>
    </xf>
    <xf numFmtId="0" fontId="15" fillId="11" borderId="45" xfId="0" applyFont="1" applyFill="1" applyBorder="1" applyAlignment="1">
      <alignment horizontal="center" vertical="center"/>
    </xf>
    <xf numFmtId="4" fontId="27" fillId="10" borderId="104" xfId="0" applyNumberFormat="1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4" fontId="15" fillId="11" borderId="13" xfId="0" applyNumberFormat="1" applyFont="1" applyFill="1" applyBorder="1" applyAlignment="1">
      <alignment horizontal="center" vertical="center"/>
    </xf>
    <xf numFmtId="4" fontId="15" fillId="11" borderId="15" xfId="0" applyNumberFormat="1" applyFont="1" applyFill="1" applyBorder="1" applyAlignment="1">
      <alignment horizontal="center" vertical="center" wrapText="1"/>
    </xf>
    <xf numFmtId="4" fontId="15" fillId="11" borderId="40" xfId="0" applyNumberFormat="1" applyFont="1" applyFill="1" applyBorder="1" applyAlignment="1">
      <alignment horizontal="center" vertical="center" wrapText="1"/>
    </xf>
    <xf numFmtId="4" fontId="15" fillId="11" borderId="2" xfId="0" applyNumberFormat="1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165" fontId="15" fillId="11" borderId="2" xfId="0" applyNumberFormat="1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166" fontId="15" fillId="15" borderId="15" xfId="0" applyNumberFormat="1" applyFont="1" applyFill="1" applyBorder="1" applyAlignment="1">
      <alignment horizontal="center" vertical="center" wrapText="1"/>
    </xf>
    <xf numFmtId="166" fontId="15" fillId="15" borderId="127" xfId="0" applyNumberFormat="1" applyFont="1" applyFill="1" applyBorder="1" applyAlignment="1">
      <alignment horizontal="center" vertical="center" wrapText="1"/>
    </xf>
    <xf numFmtId="4" fontId="27" fillId="10" borderId="91" xfId="0" applyNumberFormat="1" applyFont="1" applyFill="1" applyBorder="1" applyAlignment="1">
      <alignment horizontal="center" vertical="center" wrapText="1"/>
    </xf>
    <xf numFmtId="166" fontId="27" fillId="10" borderId="2" xfId="0" applyNumberFormat="1" applyFont="1" applyFill="1" applyBorder="1" applyAlignment="1">
      <alignment horizontal="center" vertical="center" wrapText="1"/>
    </xf>
    <xf numFmtId="0" fontId="15" fillId="10" borderId="126" xfId="0" applyFont="1" applyFill="1" applyBorder="1" applyAlignment="1">
      <alignment horizontal="center" vertical="center" wrapText="1"/>
    </xf>
    <xf numFmtId="166" fontId="27" fillId="10" borderId="45" xfId="0" applyNumberFormat="1" applyFont="1" applyFill="1" applyBorder="1" applyAlignment="1">
      <alignment horizontal="center" vertical="center" wrapText="1"/>
    </xf>
    <xf numFmtId="4" fontId="27" fillId="10" borderId="5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4" fontId="15" fillId="10" borderId="127" xfId="0" applyNumberFormat="1" applyFont="1" applyFill="1" applyBorder="1" applyAlignment="1">
      <alignment horizontal="center" vertical="center" wrapText="1"/>
    </xf>
    <xf numFmtId="0" fontId="15" fillId="10" borderId="125" xfId="0" applyFont="1" applyFill="1" applyBorder="1" applyAlignment="1">
      <alignment horizontal="center" vertical="center" wrapText="1"/>
    </xf>
    <xf numFmtId="164" fontId="15" fillId="10" borderId="45" xfId="0" applyNumberFormat="1" applyFont="1" applyFill="1" applyBorder="1" applyAlignment="1">
      <alignment horizontal="center" vertical="center" wrapText="1"/>
    </xf>
    <xf numFmtId="166" fontId="27" fillId="15" borderId="9" xfId="0" applyNumberFormat="1" applyFont="1" applyFill="1" applyBorder="1" applyAlignment="1">
      <alignment horizontal="center" vertical="center" wrapText="1"/>
    </xf>
    <xf numFmtId="164" fontId="15" fillId="14" borderId="2" xfId="0" applyNumberFormat="1" applyFont="1" applyFill="1" applyBorder="1" applyAlignment="1">
      <alignment horizontal="center" vertical="center" wrapText="1"/>
    </xf>
    <xf numFmtId="0" fontId="15" fillId="10" borderId="123" xfId="0" applyFont="1" applyFill="1" applyBorder="1" applyAlignment="1">
      <alignment horizontal="center" vertical="center" wrapText="1"/>
    </xf>
    <xf numFmtId="2" fontId="15" fillId="10" borderId="123" xfId="0" applyNumberFormat="1" applyFont="1" applyFill="1" applyBorder="1" applyAlignment="1">
      <alignment horizontal="center" vertical="center" wrapText="1"/>
    </xf>
    <xf numFmtId="4" fontId="15" fillId="10" borderId="123" xfId="0" applyNumberFormat="1" applyFont="1" applyFill="1" applyBorder="1" applyAlignment="1">
      <alignment horizontal="center" vertical="center" wrapText="1"/>
    </xf>
    <xf numFmtId="4" fontId="27" fillId="10" borderId="3" xfId="0" applyNumberFormat="1" applyFont="1" applyFill="1" applyBorder="1" applyAlignment="1">
      <alignment horizontal="center" vertical="center" wrapText="1"/>
    </xf>
    <xf numFmtId="166" fontId="10" fillId="10" borderId="80" xfId="0" applyNumberFormat="1" applyFont="1" applyFill="1" applyBorder="1" applyAlignment="1">
      <alignment horizontal="center" vertical="center" wrapText="1"/>
    </xf>
    <xf numFmtId="166" fontId="27" fillId="15" borderId="2" xfId="0" applyNumberFormat="1" applyFont="1" applyFill="1" applyBorder="1" applyAlignment="1">
      <alignment horizontal="center" vertical="center" wrapText="1"/>
    </xf>
    <xf numFmtId="166" fontId="27" fillId="4" borderId="13" xfId="0" applyNumberFormat="1" applyFont="1" applyFill="1" applyBorder="1" applyAlignment="1">
      <alignment horizontal="center" vertical="center" wrapText="1"/>
    </xf>
    <xf numFmtId="166" fontId="27" fillId="10" borderId="91" xfId="0" applyNumberFormat="1" applyFont="1" applyFill="1" applyBorder="1" applyAlignment="1">
      <alignment horizontal="center" vertical="center" wrapText="1"/>
    </xf>
    <xf numFmtId="167" fontId="15" fillId="10" borderId="2" xfId="0" applyNumberFormat="1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>
      <alignment horizontal="left" vertical="center" wrapText="1"/>
    </xf>
    <xf numFmtId="166" fontId="15" fillId="10" borderId="45" xfId="0" applyNumberFormat="1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 wrapText="1"/>
    </xf>
    <xf numFmtId="0" fontId="15" fillId="11" borderId="86" xfId="0" applyFont="1" applyFill="1" applyBorder="1" applyAlignment="1">
      <alignment horizontal="center" vertical="center" wrapText="1"/>
    </xf>
    <xf numFmtId="0" fontId="15" fillId="11" borderId="76" xfId="0" applyFont="1" applyFill="1" applyBorder="1" applyAlignment="1">
      <alignment horizontal="center" vertical="center" wrapText="1"/>
    </xf>
    <xf numFmtId="171" fontId="15" fillId="11" borderId="12" xfId="0" applyNumberFormat="1" applyFont="1" applyFill="1" applyBorder="1" applyAlignment="1">
      <alignment horizontal="center" vertical="center"/>
    </xf>
    <xf numFmtId="0" fontId="15" fillId="10" borderId="79" xfId="0" applyFont="1" applyFill="1" applyBorder="1" applyAlignment="1">
      <alignment horizontal="center" vertical="center" wrapText="1"/>
    </xf>
    <xf numFmtId="4" fontId="15" fillId="11" borderId="93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13" xfId="0" applyFont="1" applyFill="1" applyBorder="1" applyAlignment="1">
      <alignment vertical="center" wrapText="1"/>
    </xf>
    <xf numFmtId="167" fontId="6" fillId="10" borderId="13" xfId="0" applyNumberFormat="1" applyFont="1" applyFill="1" applyBorder="1" applyAlignment="1">
      <alignment horizontal="center" vertical="center" wrapText="1"/>
    </xf>
    <xf numFmtId="0" fontId="15" fillId="11" borderId="120" xfId="0" applyFont="1" applyFill="1" applyBorder="1" applyAlignment="1">
      <alignment horizontal="center" vertical="center"/>
    </xf>
    <xf numFmtId="164" fontId="19" fillId="10" borderId="2" xfId="0" applyNumberFormat="1" applyFont="1" applyFill="1" applyBorder="1" applyAlignment="1">
      <alignment horizontal="center" vertical="center" wrapText="1"/>
    </xf>
    <xf numFmtId="164" fontId="19" fillId="10" borderId="13" xfId="0" applyNumberFormat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167" fontId="19" fillId="10" borderId="13" xfId="0" applyNumberFormat="1" applyFont="1" applyFill="1" applyBorder="1" applyAlignment="1">
      <alignment horizontal="center" vertical="center" wrapText="1"/>
    </xf>
    <xf numFmtId="0" fontId="15" fillId="11" borderId="89" xfId="0" applyFont="1" applyFill="1" applyBorder="1" applyAlignment="1">
      <alignment horizontal="center" vertical="center"/>
    </xf>
    <xf numFmtId="1" fontId="15" fillId="10" borderId="86" xfId="0" applyNumberFormat="1" applyFont="1" applyFill="1" applyBorder="1" applyAlignment="1">
      <alignment horizontal="center" vertical="center"/>
    </xf>
    <xf numFmtId="167" fontId="15" fillId="10" borderId="2" xfId="0" applyNumberFormat="1" applyFont="1" applyFill="1" applyBorder="1" applyAlignment="1">
      <alignment horizontal="center" vertical="center"/>
    </xf>
    <xf numFmtId="167" fontId="15" fillId="10" borderId="45" xfId="0" applyNumberFormat="1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107" xfId="0" applyFont="1" applyFill="1" applyBorder="1" applyAlignment="1">
      <alignment horizontal="center" vertical="center" wrapText="1"/>
    </xf>
    <xf numFmtId="1" fontId="15" fillId="10" borderId="2" xfId="0" applyNumberFormat="1" applyFont="1" applyFill="1" applyBorder="1" applyAlignment="1">
      <alignment horizontal="center" vertical="center" wrapText="1"/>
    </xf>
    <xf numFmtId="1" fontId="15" fillId="10" borderId="12" xfId="0" applyNumberFormat="1" applyFont="1" applyFill="1" applyBorder="1" applyAlignment="1">
      <alignment horizontal="center" vertical="center"/>
    </xf>
    <xf numFmtId="1" fontId="15" fillId="10" borderId="13" xfId="0" applyNumberFormat="1" applyFont="1" applyFill="1" applyBorder="1" applyAlignment="1">
      <alignment horizontal="center" vertical="center"/>
    </xf>
    <xf numFmtId="0" fontId="4" fillId="10" borderId="123" xfId="0" applyFont="1" applyFill="1" applyBorder="1" applyAlignment="1">
      <alignment horizontal="center" vertical="center" wrapText="1"/>
    </xf>
    <xf numFmtId="0" fontId="4" fillId="10" borderId="20" xfId="6" applyFont="1" applyFill="1" applyBorder="1" applyAlignment="1">
      <alignment horizontal="center" vertical="center" wrapText="1"/>
    </xf>
    <xf numFmtId="0" fontId="4" fillId="10" borderId="17" xfId="6" applyFont="1" applyFill="1" applyBorder="1" applyAlignment="1">
      <alignment horizontal="center" vertical="center" wrapText="1"/>
    </xf>
    <xf numFmtId="1" fontId="15" fillId="10" borderId="13" xfId="0" applyNumberFormat="1" applyFont="1" applyFill="1" applyBorder="1" applyAlignment="1">
      <alignment horizontal="center" vertical="center" wrapText="1"/>
    </xf>
    <xf numFmtId="0" fontId="15" fillId="10" borderId="2" xfId="2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3" fontId="15" fillId="11" borderId="2" xfId="0" applyNumberFormat="1" applyFont="1" applyFill="1" applyBorder="1" applyAlignment="1">
      <alignment horizontal="center" vertical="center" wrapText="1"/>
    </xf>
    <xf numFmtId="3" fontId="11" fillId="11" borderId="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64" fontId="4" fillId="10" borderId="13" xfId="0" applyNumberFormat="1" applyFont="1" applyFill="1" applyBorder="1" applyAlignment="1">
      <alignment horizontal="center" vertical="center" wrapText="1"/>
    </xf>
    <xf numFmtId="4" fontId="15" fillId="11" borderId="3" xfId="0" applyNumberFormat="1" applyFont="1" applyFill="1" applyBorder="1" applyAlignment="1">
      <alignment horizontal="center" vertical="center" wrapText="1"/>
    </xf>
    <xf numFmtId="2" fontId="15" fillId="11" borderId="2" xfId="0" applyNumberFormat="1" applyFont="1" applyFill="1" applyBorder="1" applyAlignment="1">
      <alignment horizontal="center" vertical="center" wrapText="1"/>
    </xf>
    <xf numFmtId="3" fontId="11" fillId="11" borderId="52" xfId="0" applyNumberFormat="1" applyFont="1" applyFill="1" applyBorder="1" applyAlignment="1">
      <alignment horizontal="center" vertical="center" wrapText="1"/>
    </xf>
    <xf numFmtId="3" fontId="11" fillId="11" borderId="56" xfId="0" applyNumberFormat="1" applyFont="1" applyFill="1" applyBorder="1" applyAlignment="1">
      <alignment horizontal="center" vertical="center" wrapText="1"/>
    </xf>
    <xf numFmtId="0" fontId="15" fillId="10" borderId="2" xfId="6" applyFont="1" applyFill="1" applyBorder="1" applyAlignment="1">
      <alignment horizontal="center" vertical="center" wrapText="1"/>
    </xf>
    <xf numFmtId="2" fontId="15" fillId="10" borderId="20" xfId="6" applyNumberFormat="1" applyFont="1" applyFill="1" applyBorder="1" applyAlignment="1">
      <alignment horizontal="center" vertical="center" wrapText="1"/>
    </xf>
    <xf numFmtId="4" fontId="15" fillId="11" borderId="2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vertical="center" wrapText="1"/>
    </xf>
    <xf numFmtId="166" fontId="15" fillId="10" borderId="123" xfId="0" applyNumberFormat="1" applyFont="1" applyFill="1" applyBorder="1" applyAlignment="1">
      <alignment vertical="center" wrapText="1"/>
    </xf>
    <xf numFmtId="3" fontId="15" fillId="10" borderId="123" xfId="0" applyNumberFormat="1" applyFont="1" applyFill="1" applyBorder="1" applyAlignment="1">
      <alignment horizontal="center" vertical="center" wrapText="1"/>
    </xf>
    <xf numFmtId="166" fontId="27" fillId="10" borderId="123" xfId="0" applyNumberFormat="1" applyFont="1" applyFill="1" applyBorder="1" applyAlignment="1">
      <alignment horizontal="center" vertical="center" wrapText="1"/>
    </xf>
    <xf numFmtId="4" fontId="15" fillId="10" borderId="123" xfId="0" applyNumberFormat="1" applyFont="1" applyFill="1" applyBorder="1" applyAlignment="1">
      <alignment vertical="center" wrapText="1"/>
    </xf>
    <xf numFmtId="165" fontId="15" fillId="10" borderId="12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166" fontId="15" fillId="4" borderId="2" xfId="0" applyNumberFormat="1" applyFont="1" applyFill="1" applyBorder="1" applyAlignment="1">
      <alignment vertical="center" wrapText="1"/>
    </xf>
    <xf numFmtId="3" fontId="15" fillId="4" borderId="13" xfId="0" applyNumberFormat="1" applyFont="1" applyFill="1" applyBorder="1" applyAlignment="1">
      <alignment horizontal="center" vertical="center" wrapText="1"/>
    </xf>
    <xf numFmtId="4" fontId="27" fillId="4" borderId="2" xfId="0" applyNumberFormat="1" applyFont="1" applyFill="1" applyBorder="1" applyAlignment="1">
      <alignment vertical="center" wrapText="1"/>
    </xf>
    <xf numFmtId="166" fontId="15" fillId="4" borderId="13" xfId="0" applyNumberFormat="1" applyFont="1" applyFill="1" applyBorder="1" applyAlignment="1">
      <alignment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4" fontId="17" fillId="0" borderId="93" xfId="0" applyNumberFormat="1" applyFont="1" applyBorder="1" applyAlignment="1">
      <alignment horizontal="center" vertical="center" wrapText="1"/>
    </xf>
    <xf numFmtId="171" fontId="17" fillId="11" borderId="13" xfId="0" applyNumberFormat="1" applyFont="1" applyFill="1" applyBorder="1" applyAlignment="1">
      <alignment horizontal="center" vertical="center" wrapText="1"/>
    </xf>
    <xf numFmtId="166" fontId="17" fillId="11" borderId="127" xfId="0" applyNumberFormat="1" applyFont="1" applyFill="1" applyBorder="1" applyAlignment="1">
      <alignment horizontal="center" vertical="center" wrapText="1"/>
    </xf>
    <xf numFmtId="2" fontId="6" fillId="10" borderId="123" xfId="6" applyNumberFormat="1" applyFont="1" applyFill="1" applyBorder="1" applyAlignment="1">
      <alignment vertical="center" wrapText="1"/>
    </xf>
    <xf numFmtId="0" fontId="6" fillId="10" borderId="123" xfId="6" applyFont="1" applyFill="1" applyBorder="1" applyAlignment="1">
      <alignment vertical="center" wrapText="1"/>
    </xf>
    <xf numFmtId="164" fontId="6" fillId="10" borderId="123" xfId="6" applyNumberFormat="1" applyFont="1" applyFill="1" applyBorder="1" applyAlignment="1">
      <alignment horizontal="center" vertical="center" wrapText="1"/>
    </xf>
    <xf numFmtId="2" fontId="6" fillId="10" borderId="123" xfId="6" applyNumberFormat="1" applyFont="1" applyFill="1" applyBorder="1" applyAlignment="1">
      <alignment horizontal="center" vertical="center" wrapText="1"/>
    </xf>
    <xf numFmtId="167" fontId="6" fillId="10" borderId="123" xfId="6" applyNumberFormat="1" applyFont="1" applyFill="1" applyBorder="1" applyAlignment="1">
      <alignment horizontal="center" vertical="center" wrapText="1"/>
    </xf>
    <xf numFmtId="0" fontId="4" fillId="10" borderId="123" xfId="6" applyFont="1" applyFill="1" applyBorder="1" applyAlignment="1">
      <alignment vertical="center" wrapText="1"/>
    </xf>
    <xf numFmtId="164" fontId="4" fillId="10" borderId="123" xfId="6" applyNumberFormat="1" applyFont="1" applyFill="1" applyBorder="1" applyAlignment="1">
      <alignment horizontal="center" vertical="center" wrapText="1"/>
    </xf>
    <xf numFmtId="0" fontId="4" fillId="10" borderId="123" xfId="6" applyFont="1" applyFill="1" applyBorder="1" applyAlignment="1">
      <alignment horizontal="center" vertical="center" wrapText="1"/>
    </xf>
    <xf numFmtId="2" fontId="4" fillId="10" borderId="123" xfId="6" applyNumberFormat="1" applyFont="1" applyFill="1" applyBorder="1" applyAlignment="1">
      <alignment vertical="center"/>
    </xf>
    <xf numFmtId="0" fontId="4" fillId="10" borderId="123" xfId="6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04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5" fillId="10" borderId="104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4" fontId="11" fillId="10" borderId="13" xfId="0" applyNumberFormat="1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11" borderId="44" xfId="0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4" fontId="15" fillId="10" borderId="41" xfId="0" applyNumberFormat="1" applyFont="1" applyFill="1" applyBorder="1" applyAlignment="1">
      <alignment horizontal="center" vertical="center" wrapText="1"/>
    </xf>
    <xf numFmtId="4" fontId="15" fillId="10" borderId="42" xfId="0" applyNumberFormat="1" applyFont="1" applyFill="1" applyBorder="1" applyAlignment="1">
      <alignment horizontal="center" vertical="center" wrapText="1"/>
    </xf>
    <xf numFmtId="3" fontId="15" fillId="10" borderId="2" xfId="0" applyNumberFormat="1" applyFont="1" applyFill="1" applyBorder="1" applyAlignment="1">
      <alignment horizontal="center" vertical="center"/>
    </xf>
    <xf numFmtId="3" fontId="15" fillId="10" borderId="107" xfId="0" applyNumberFormat="1" applyFont="1" applyFill="1" applyBorder="1" applyAlignment="1">
      <alignment horizontal="center" vertical="center"/>
    </xf>
    <xf numFmtId="4" fontId="15" fillId="10" borderId="13" xfId="0" applyNumberFormat="1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center" vertical="center" wrapText="1"/>
    </xf>
    <xf numFmtId="2" fontId="15" fillId="10" borderId="40" xfId="0" applyNumberFormat="1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2" fontId="15" fillId="10" borderId="45" xfId="0" applyNumberFormat="1" applyFont="1" applyFill="1" applyBorder="1" applyAlignment="1">
      <alignment horizontal="center" vertical="center" wrapText="1"/>
    </xf>
    <xf numFmtId="4" fontId="19" fillId="10" borderId="12" xfId="0" applyNumberFormat="1" applyFont="1" applyFill="1" applyBorder="1" applyAlignment="1">
      <alignment horizontal="center" vertical="center" wrapText="1"/>
    </xf>
    <xf numFmtId="4" fontId="19" fillId="10" borderId="13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left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 vertical="center" wrapText="1"/>
    </xf>
    <xf numFmtId="0" fontId="4" fillId="10" borderId="104" xfId="0" applyFont="1" applyFill="1" applyBorder="1" applyAlignment="1">
      <alignment horizontal="center" vertical="center" wrapText="1"/>
    </xf>
    <xf numFmtId="0" fontId="15" fillId="10" borderId="40" xfId="0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5" fillId="10" borderId="13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39" xfId="0" applyFont="1" applyFill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center" vertical="center"/>
    </xf>
    <xf numFmtId="0" fontId="15" fillId="10" borderId="44" xfId="0" applyFont="1" applyFill="1" applyBorder="1" applyAlignment="1">
      <alignment horizontal="center" vertical="center"/>
    </xf>
    <xf numFmtId="2" fontId="4" fillId="10" borderId="15" xfId="0" applyNumberFormat="1" applyFont="1" applyFill="1" applyBorder="1" applyAlignment="1">
      <alignment horizontal="center" vertical="center" wrapText="1"/>
    </xf>
    <xf numFmtId="4" fontId="15" fillId="10" borderId="48" xfId="0" applyNumberFormat="1" applyFont="1" applyFill="1" applyBorder="1" applyAlignment="1">
      <alignment horizontal="center" vertical="center" wrapText="1"/>
    </xf>
    <xf numFmtId="4" fontId="15" fillId="10" borderId="46" xfId="0" applyNumberFormat="1" applyFont="1" applyFill="1" applyBorder="1" applyAlignment="1">
      <alignment horizontal="center" vertical="center" wrapText="1"/>
    </xf>
    <xf numFmtId="0" fontId="15" fillId="10" borderId="76" xfId="0" applyFont="1" applyFill="1" applyBorder="1" applyAlignment="1">
      <alignment horizontal="center" vertical="center" wrapText="1"/>
    </xf>
    <xf numFmtId="0" fontId="15" fillId="10" borderId="37" xfId="0" applyFont="1" applyFill="1" applyBorder="1" applyAlignment="1">
      <alignment horizontal="center" vertical="center" wrapText="1"/>
    </xf>
    <xf numFmtId="0" fontId="15" fillId="10" borderId="43" xfId="0" applyFont="1" applyFill="1" applyBorder="1" applyAlignment="1">
      <alignment horizontal="center" vertical="center" wrapText="1"/>
    </xf>
    <xf numFmtId="4" fontId="15" fillId="10" borderId="39" xfId="0" applyNumberFormat="1" applyFont="1" applyFill="1" applyBorder="1" applyAlignment="1">
      <alignment horizontal="center" vertical="center" wrapText="1"/>
    </xf>
    <xf numFmtId="4" fontId="15" fillId="10" borderId="44" xfId="0" applyNumberFormat="1" applyFont="1" applyFill="1" applyBorder="1" applyAlignment="1">
      <alignment horizontal="center" vertical="center" wrapText="1"/>
    </xf>
    <xf numFmtId="164" fontId="15" fillId="10" borderId="40" xfId="0" applyNumberFormat="1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 wrapText="1"/>
    </xf>
    <xf numFmtId="3" fontId="15" fillId="10" borderId="15" xfId="0" applyNumberFormat="1" applyFont="1" applyFill="1" applyBorder="1" applyAlignment="1">
      <alignment horizontal="center" vertical="center"/>
    </xf>
    <xf numFmtId="2" fontId="15" fillId="10" borderId="73" xfId="0" applyNumberFormat="1" applyFont="1" applyFill="1" applyBorder="1" applyAlignment="1">
      <alignment horizontal="center" vertical="center" wrapText="1"/>
    </xf>
    <xf numFmtId="2" fontId="15" fillId="10" borderId="15" xfId="0" applyNumberFormat="1" applyFont="1" applyFill="1" applyBorder="1" applyAlignment="1">
      <alignment horizontal="center" vertical="center" wrapText="1"/>
    </xf>
    <xf numFmtId="2" fontId="15" fillId="10" borderId="44" xfId="0" applyNumberFormat="1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15" fillId="10" borderId="73" xfId="0" applyFont="1" applyFill="1" applyBorder="1" applyAlignment="1">
      <alignment horizontal="center" vertical="center" wrapText="1"/>
    </xf>
    <xf numFmtId="165" fontId="15" fillId="10" borderId="80" xfId="0" applyNumberFormat="1" applyFont="1" applyFill="1" applyBorder="1" applyAlignment="1">
      <alignment horizontal="center" vertical="center" wrapText="1"/>
    </xf>
    <xf numFmtId="165" fontId="15" fillId="10" borderId="13" xfId="0" applyNumberFormat="1" applyFont="1" applyFill="1" applyBorder="1" applyAlignment="1">
      <alignment horizontal="center" vertical="center" wrapText="1"/>
    </xf>
    <xf numFmtId="4" fontId="15" fillId="10" borderId="49" xfId="0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left" vertical="center" wrapText="1"/>
    </xf>
    <xf numFmtId="0" fontId="15" fillId="10" borderId="45" xfId="0" applyFont="1" applyFill="1" applyBorder="1" applyAlignment="1">
      <alignment horizontal="left" vertical="center" wrapText="1"/>
    </xf>
    <xf numFmtId="0" fontId="15" fillId="11" borderId="15" xfId="0" applyFont="1" applyFill="1" applyBorder="1" applyAlignment="1">
      <alignment horizontal="center" vertical="center" wrapText="1"/>
    </xf>
    <xf numFmtId="4" fontId="15" fillId="10" borderId="50" xfId="0" applyNumberFormat="1" applyFont="1" applyFill="1" applyBorder="1" applyAlignment="1">
      <alignment horizontal="center" vertical="center" wrapText="1"/>
    </xf>
    <xf numFmtId="4" fontId="19" fillId="10" borderId="2" xfId="0" applyNumberFormat="1" applyFont="1" applyFill="1" applyBorder="1" applyAlignment="1">
      <alignment horizontal="center" vertical="center" wrapText="1"/>
    </xf>
    <xf numFmtId="0" fontId="15" fillId="11" borderId="8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11" fillId="10" borderId="39" xfId="0" applyFont="1" applyFill="1" applyBorder="1" applyAlignment="1">
      <alignment horizontal="center" vertical="center" wrapText="1"/>
    </xf>
    <xf numFmtId="166" fontId="15" fillId="10" borderId="40" xfId="0" applyNumberFormat="1" applyFont="1" applyFill="1" applyBorder="1" applyAlignment="1">
      <alignment horizontal="center" vertical="center" wrapText="1"/>
    </xf>
    <xf numFmtId="166" fontId="15" fillId="10" borderId="2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11" borderId="40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4" fontId="15" fillId="10" borderId="75" xfId="0" applyNumberFormat="1" applyFont="1" applyFill="1" applyBorder="1" applyAlignment="1">
      <alignment horizontal="center" vertical="center" wrapText="1"/>
    </xf>
    <xf numFmtId="0" fontId="15" fillId="11" borderId="45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 wrapText="1"/>
    </xf>
    <xf numFmtId="0" fontId="15" fillId="10" borderId="107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15" fillId="10" borderId="80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left" vertical="center" wrapText="1"/>
    </xf>
    <xf numFmtId="4" fontId="4" fillId="7" borderId="12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4" fontId="4" fillId="7" borderId="13" xfId="0" applyNumberFormat="1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horizontal="center" vertical="center" wrapText="1"/>
    </xf>
    <xf numFmtId="4" fontId="4" fillId="6" borderId="15" xfId="0" applyNumberFormat="1" applyFont="1" applyFill="1" applyBorder="1" applyAlignment="1">
      <alignment horizontal="center" vertical="center" wrapText="1"/>
    </xf>
    <xf numFmtId="4" fontId="4" fillId="6" borderId="13" xfId="0" applyNumberFormat="1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left" vertical="center" wrapText="1"/>
    </xf>
    <xf numFmtId="4" fontId="11" fillId="10" borderId="12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5" fillId="11" borderId="104" xfId="0" applyFont="1" applyFill="1" applyBorder="1" applyAlignment="1">
      <alignment horizontal="center" vertical="center" wrapText="1"/>
    </xf>
    <xf numFmtId="2" fontId="6" fillId="10" borderId="15" xfId="0" applyNumberFormat="1" applyFont="1" applyFill="1" applyBorder="1" applyAlignment="1">
      <alignment horizontal="center" vertical="center" wrapText="1"/>
    </xf>
    <xf numFmtId="4" fontId="15" fillId="10" borderId="89" xfId="0" applyNumberFormat="1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4" fontId="15" fillId="10" borderId="40" xfId="0" applyNumberFormat="1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vertical="center" wrapText="1"/>
    </xf>
    <xf numFmtId="4" fontId="15" fillId="10" borderId="13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6" fontId="15" fillId="10" borderId="80" xfId="0" applyNumberFormat="1" applyFont="1" applyFill="1" applyBorder="1" applyAlignment="1">
      <alignment horizontal="center" vertical="center" wrapText="1"/>
    </xf>
    <xf numFmtId="166" fontId="15" fillId="10" borderId="89" xfId="0" applyNumberFormat="1" applyFont="1" applyFill="1" applyBorder="1" applyAlignment="1">
      <alignment horizontal="center" vertical="center" wrapText="1"/>
    </xf>
    <xf numFmtId="166" fontId="15" fillId="10" borderId="9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3" fontId="15" fillId="10" borderId="104" xfId="0" applyNumberFormat="1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left" vertical="center" wrapText="1"/>
    </xf>
    <xf numFmtId="0" fontId="15" fillId="10" borderId="51" xfId="0" applyFont="1" applyFill="1" applyBorder="1" applyAlignment="1">
      <alignment horizontal="center" vertical="center" wrapText="1"/>
    </xf>
    <xf numFmtId="0" fontId="15" fillId="10" borderId="40" xfId="0" applyFont="1" applyFill="1" applyBorder="1" applyAlignment="1">
      <alignment horizontal="left" vertical="center" wrapText="1"/>
    </xf>
    <xf numFmtId="4" fontId="15" fillId="10" borderId="15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166" fontId="15" fillId="10" borderId="39" xfId="0" applyNumberFormat="1" applyFont="1" applyFill="1" applyBorder="1" applyAlignment="1">
      <alignment horizontal="center" vertical="center" wrapText="1"/>
    </xf>
    <xf numFmtId="166" fontId="15" fillId="10" borderId="44" xfId="0" applyNumberFormat="1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4" fontId="11" fillId="10" borderId="49" xfId="0" applyNumberFormat="1" applyFont="1" applyFill="1" applyBorder="1" applyAlignment="1">
      <alignment horizontal="center" vertical="center" wrapText="1"/>
    </xf>
    <xf numFmtId="4" fontId="15" fillId="10" borderId="104" xfId="0" applyNumberFormat="1" applyFont="1" applyFill="1" applyBorder="1" applyAlignment="1">
      <alignment horizontal="center" vertical="center" wrapText="1"/>
    </xf>
    <xf numFmtId="0" fontId="15" fillId="11" borderId="10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15" fillId="11" borderId="90" xfId="0" applyFont="1" applyFill="1" applyBorder="1" applyAlignment="1">
      <alignment horizontal="center" vertical="center" wrapText="1"/>
    </xf>
    <xf numFmtId="0" fontId="15" fillId="11" borderId="8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wrapText="1"/>
    </xf>
    <xf numFmtId="165" fontId="15" fillId="10" borderId="40" xfId="0" applyNumberFormat="1" applyFont="1" applyFill="1" applyBorder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center" vertical="center" wrapText="1"/>
    </xf>
    <xf numFmtId="165" fontId="15" fillId="10" borderId="107" xfId="0" applyNumberFormat="1" applyFont="1" applyFill="1" applyBorder="1" applyAlignment="1">
      <alignment horizontal="center" vertical="center" wrapText="1"/>
    </xf>
    <xf numFmtId="0" fontId="15" fillId="10" borderId="105" xfId="0" applyFont="1" applyFill="1" applyBorder="1" applyAlignment="1">
      <alignment horizontal="center" vertical="center" wrapText="1"/>
    </xf>
    <xf numFmtId="0" fontId="15" fillId="10" borderId="106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" fontId="15" fillId="10" borderId="45" xfId="0" applyNumberFormat="1" applyFont="1" applyFill="1" applyBorder="1" applyAlignment="1">
      <alignment horizontal="center" vertical="center" wrapText="1"/>
    </xf>
    <xf numFmtId="0" fontId="15" fillId="11" borderId="93" xfId="0" applyFont="1" applyFill="1" applyBorder="1" applyAlignment="1">
      <alignment horizontal="center" vertical="center" wrapText="1"/>
    </xf>
    <xf numFmtId="49" fontId="15" fillId="10" borderId="12" xfId="0" applyNumberFormat="1" applyFont="1" applyFill="1" applyBorder="1" applyAlignment="1">
      <alignment horizontal="center" vertical="center" wrapText="1"/>
    </xf>
    <xf numFmtId="49" fontId="15" fillId="10" borderId="13" xfId="0" applyNumberFormat="1" applyFont="1" applyFill="1" applyBorder="1" applyAlignment="1">
      <alignment horizontal="center" vertical="center" wrapText="1"/>
    </xf>
    <xf numFmtId="166" fontId="11" fillId="10" borderId="12" xfId="0" applyNumberFormat="1" applyFont="1" applyFill="1" applyBorder="1" applyAlignment="1">
      <alignment horizontal="left" vertical="center" wrapText="1"/>
    </xf>
    <xf numFmtId="166" fontId="11" fillId="10" borderId="13" xfId="0" applyNumberFormat="1" applyFont="1" applyFill="1" applyBorder="1" applyAlignment="1">
      <alignment horizontal="left" vertical="center" wrapText="1"/>
    </xf>
    <xf numFmtId="166" fontId="15" fillId="10" borderId="12" xfId="0" applyNumberFormat="1" applyFont="1" applyFill="1" applyBorder="1" applyAlignment="1">
      <alignment horizontal="center" vertical="center" wrapText="1"/>
    </xf>
    <xf numFmtId="166" fontId="15" fillId="10" borderId="13" xfId="0" applyNumberFormat="1" applyFont="1" applyFill="1" applyBorder="1" applyAlignment="1">
      <alignment horizontal="center" vertical="center" wrapText="1"/>
    </xf>
    <xf numFmtId="167" fontId="15" fillId="18" borderId="12" xfId="0" applyNumberFormat="1" applyFont="1" applyFill="1" applyBorder="1" applyAlignment="1">
      <alignment horizontal="center" vertical="center" wrapText="1"/>
    </xf>
    <xf numFmtId="167" fontId="15" fillId="18" borderId="13" xfId="0" applyNumberFormat="1" applyFont="1" applyFill="1" applyBorder="1" applyAlignment="1">
      <alignment horizontal="center" vertical="center" wrapText="1"/>
    </xf>
    <xf numFmtId="165" fontId="15" fillId="18" borderId="12" xfId="0" applyNumberFormat="1" applyFont="1" applyFill="1" applyBorder="1" applyAlignment="1">
      <alignment horizontal="center" vertical="center" wrapText="1"/>
    </xf>
    <xf numFmtId="165" fontId="15" fillId="18" borderId="13" xfId="0" applyNumberFormat="1" applyFont="1" applyFill="1" applyBorder="1" applyAlignment="1">
      <alignment horizontal="center" vertical="center" wrapText="1"/>
    </xf>
    <xf numFmtId="4" fontId="15" fillId="10" borderId="12" xfId="0" applyNumberFormat="1" applyFont="1" applyFill="1" applyBorder="1" applyAlignment="1">
      <alignment horizontal="center" vertical="center" wrapText="1"/>
    </xf>
    <xf numFmtId="3" fontId="27" fillId="10" borderId="12" xfId="0" applyNumberFormat="1" applyFont="1" applyFill="1" applyBorder="1" applyAlignment="1">
      <alignment horizontal="center" vertical="center" wrapText="1"/>
    </xf>
    <xf numFmtId="3" fontId="27" fillId="10" borderId="13" xfId="0" applyNumberFormat="1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164" fontId="15" fillId="11" borderId="12" xfId="0" applyNumberFormat="1" applyFont="1" applyFill="1" applyBorder="1" applyAlignment="1">
      <alignment horizontal="center" vertical="center"/>
    </xf>
    <xf numFmtId="164" fontId="15" fillId="11" borderId="13" xfId="0" applyNumberFormat="1" applyFont="1" applyFill="1" applyBorder="1" applyAlignment="1">
      <alignment horizontal="center" vertical="center"/>
    </xf>
    <xf numFmtId="2" fontId="15" fillId="11" borderId="12" xfId="0" applyNumberFormat="1" applyFont="1" applyFill="1" applyBorder="1" applyAlignment="1">
      <alignment horizontal="center" vertical="center"/>
    </xf>
    <xf numFmtId="2" fontId="15" fillId="11" borderId="13" xfId="0" applyNumberFormat="1" applyFont="1" applyFill="1" applyBorder="1" applyAlignment="1">
      <alignment horizontal="center" vertical="center"/>
    </xf>
    <xf numFmtId="166" fontId="15" fillId="10" borderId="12" xfId="0" applyNumberFormat="1" applyFont="1" applyFill="1" applyBorder="1" applyAlignment="1">
      <alignment horizontal="left" vertical="center" wrapText="1"/>
    </xf>
    <xf numFmtId="166" fontId="15" fillId="10" borderId="13" xfId="0" applyNumberFormat="1" applyFont="1" applyFill="1" applyBorder="1" applyAlignment="1">
      <alignment horizontal="left" vertical="center" wrapText="1"/>
    </xf>
    <xf numFmtId="49" fontId="15" fillId="11" borderId="12" xfId="0" applyNumberFormat="1" applyFont="1" applyFill="1" applyBorder="1" applyAlignment="1">
      <alignment horizontal="center" vertical="center" wrapText="1"/>
    </xf>
    <xf numFmtId="49" fontId="15" fillId="11" borderId="13" xfId="0" applyNumberFormat="1" applyFont="1" applyFill="1" applyBorder="1" applyAlignment="1">
      <alignment horizontal="center" vertical="center" wrapText="1"/>
    </xf>
    <xf numFmtId="3" fontId="4" fillId="11" borderId="12" xfId="0" applyNumberFormat="1" applyFont="1" applyFill="1" applyBorder="1" applyAlignment="1">
      <alignment horizontal="center" vertical="center" wrapText="1"/>
    </xf>
    <xf numFmtId="3" fontId="4" fillId="11" borderId="13" xfId="0" applyNumberFormat="1" applyFont="1" applyFill="1" applyBorder="1" applyAlignment="1">
      <alignment horizontal="center" vertical="center" wrapText="1"/>
    </xf>
    <xf numFmtId="3" fontId="15" fillId="11" borderId="38" xfId="0" applyNumberFormat="1" applyFont="1" applyFill="1" applyBorder="1" applyAlignment="1">
      <alignment horizontal="center" vertical="center" wrapText="1"/>
    </xf>
    <xf numFmtId="3" fontId="15" fillId="11" borderId="43" xfId="0" applyNumberFormat="1" applyFont="1" applyFill="1" applyBorder="1" applyAlignment="1">
      <alignment horizontal="center" vertical="center" wrapText="1"/>
    </xf>
    <xf numFmtId="164" fontId="15" fillId="10" borderId="39" xfId="0" applyNumberFormat="1" applyFont="1" applyFill="1" applyBorder="1" applyAlignment="1">
      <alignment horizontal="center" vertical="center" wrapText="1"/>
    </xf>
    <xf numFmtId="164" fontId="15" fillId="10" borderId="44" xfId="0" applyNumberFormat="1" applyFont="1" applyFill="1" applyBorder="1" applyAlignment="1">
      <alignment horizontal="center" vertical="center" wrapText="1"/>
    </xf>
    <xf numFmtId="1" fontId="19" fillId="10" borderId="39" xfId="0" applyNumberFormat="1" applyFont="1" applyFill="1" applyBorder="1" applyAlignment="1">
      <alignment horizontal="center" vertical="center" wrapText="1"/>
    </xf>
    <xf numFmtId="1" fontId="19" fillId="10" borderId="15" xfId="0" applyNumberFormat="1" applyFont="1" applyFill="1" applyBorder="1" applyAlignment="1">
      <alignment horizontal="center" vertical="center" wrapText="1"/>
    </xf>
    <xf numFmtId="0" fontId="19" fillId="11" borderId="39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164" fontId="19" fillId="10" borderId="2" xfId="0" applyNumberFormat="1" applyFont="1" applyFill="1" applyBorder="1" applyAlignment="1">
      <alignment horizontal="center" vertical="center" wrapText="1"/>
    </xf>
    <xf numFmtId="1" fontId="19" fillId="10" borderId="2" xfId="0" applyNumberFormat="1" applyFont="1" applyFill="1" applyBorder="1" applyAlignment="1">
      <alignment horizontal="center" vertical="center" wrapText="1"/>
    </xf>
    <xf numFmtId="3" fontId="15" fillId="11" borderId="53" xfId="0" applyNumberFormat="1" applyFont="1" applyFill="1" applyBorder="1" applyAlignment="1">
      <alignment horizontal="center" vertical="center" wrapText="1"/>
    </xf>
    <xf numFmtId="0" fontId="15" fillId="11" borderId="44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vertical="center" wrapText="1"/>
    </xf>
    <xf numFmtId="0" fontId="11" fillId="10" borderId="13" xfId="0" applyFont="1" applyFill="1" applyBorder="1" applyAlignment="1">
      <alignment vertical="center" wrapText="1"/>
    </xf>
    <xf numFmtId="0" fontId="19" fillId="10" borderId="39" xfId="0" applyFont="1" applyFill="1" applyBorder="1" applyAlignment="1">
      <alignment horizontal="left" vertical="center" wrapText="1"/>
    </xf>
    <xf numFmtId="0" fontId="19" fillId="10" borderId="15" xfId="0" applyFont="1" applyFill="1" applyBorder="1" applyAlignment="1">
      <alignment horizontal="left" vertical="center" wrapText="1"/>
    </xf>
    <xf numFmtId="0" fontId="19" fillId="10" borderId="44" xfId="0" applyFont="1" applyFill="1" applyBorder="1" applyAlignment="1">
      <alignment horizontal="left" vertical="center" wrapText="1"/>
    </xf>
    <xf numFmtId="164" fontId="11" fillId="10" borderId="12" xfId="0" applyNumberFormat="1" applyFont="1" applyFill="1" applyBorder="1" applyAlignment="1">
      <alignment horizontal="center" vertical="center" wrapText="1"/>
    </xf>
    <xf numFmtId="164" fontId="11" fillId="10" borderId="13" xfId="0" applyNumberFormat="1" applyFont="1" applyFill="1" applyBorder="1" applyAlignment="1">
      <alignment horizontal="center" vertical="center" wrapText="1"/>
    </xf>
    <xf numFmtId="167" fontId="11" fillId="10" borderId="12" xfId="0" applyNumberFormat="1" applyFont="1" applyFill="1" applyBorder="1" applyAlignment="1">
      <alignment horizontal="center" vertical="center" wrapText="1"/>
    </xf>
    <xf numFmtId="167" fontId="11" fillId="10" borderId="13" xfId="0" applyNumberFormat="1" applyFont="1" applyFill="1" applyBorder="1" applyAlignment="1">
      <alignment horizontal="center" vertical="center" wrapText="1"/>
    </xf>
    <xf numFmtId="0" fontId="19" fillId="10" borderId="12" xfId="2" applyFont="1" applyFill="1" applyBorder="1" applyAlignment="1">
      <alignment horizontal="center" vertical="center" wrapText="1"/>
    </xf>
    <xf numFmtId="0" fontId="19" fillId="10" borderId="13" xfId="2" applyFont="1" applyFill="1" applyBorder="1" applyAlignment="1">
      <alignment horizontal="center" vertical="center" wrapText="1"/>
    </xf>
    <xf numFmtId="164" fontId="11" fillId="10" borderId="15" xfId="0" applyNumberFormat="1" applyFont="1" applyFill="1" applyBorder="1" applyAlignment="1">
      <alignment horizontal="center" vertical="center" wrapText="1"/>
    </xf>
    <xf numFmtId="167" fontId="11" fillId="10" borderId="15" xfId="0" applyNumberFormat="1" applyFont="1" applyFill="1" applyBorder="1" applyAlignment="1">
      <alignment horizontal="center" vertical="center" wrapText="1"/>
    </xf>
    <xf numFmtId="3" fontId="4" fillId="11" borderId="93" xfId="0" applyNumberFormat="1" applyFont="1" applyFill="1" applyBorder="1" applyAlignment="1">
      <alignment horizontal="center" vertical="center" wrapText="1"/>
    </xf>
    <xf numFmtId="3" fontId="4" fillId="11" borderId="104" xfId="0" applyNumberFormat="1" applyFont="1" applyFill="1" applyBorder="1" applyAlignment="1">
      <alignment horizontal="center" vertical="center" wrapText="1"/>
    </xf>
    <xf numFmtId="3" fontId="4" fillId="11" borderId="2" xfId="0" applyNumberFormat="1" applyFont="1" applyFill="1" applyBorder="1" applyAlignment="1">
      <alignment horizontal="center" vertical="center" wrapText="1"/>
    </xf>
    <xf numFmtId="167" fontId="11" fillId="10" borderId="93" xfId="0" applyNumberFormat="1" applyFont="1" applyFill="1" applyBorder="1" applyAlignment="1">
      <alignment horizontal="center" vertical="center" wrapText="1"/>
    </xf>
    <xf numFmtId="164" fontId="11" fillId="10" borderId="93" xfId="0" applyNumberFormat="1" applyFont="1" applyFill="1" applyBorder="1" applyAlignment="1">
      <alignment horizontal="center" vertical="center" wrapText="1"/>
    </xf>
    <xf numFmtId="0" fontId="11" fillId="10" borderId="93" xfId="0" applyFont="1" applyFill="1" applyBorder="1" applyAlignment="1">
      <alignment horizontal="left" vertical="center" wrapText="1"/>
    </xf>
    <xf numFmtId="164" fontId="19" fillId="10" borderId="39" xfId="0" applyNumberFormat="1" applyFont="1" applyFill="1" applyBorder="1" applyAlignment="1">
      <alignment horizontal="center" vertical="center" wrapText="1"/>
    </xf>
    <xf numFmtId="164" fontId="19" fillId="10" borderId="15" xfId="0" applyNumberFormat="1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1" fontId="19" fillId="10" borderId="93" xfId="0" applyNumberFormat="1" applyFont="1" applyFill="1" applyBorder="1" applyAlignment="1">
      <alignment horizontal="center" vertical="center" wrapText="1"/>
    </xf>
    <xf numFmtId="1" fontId="19" fillId="10" borderId="44" xfId="0" applyNumberFormat="1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vertical="center" wrapText="1"/>
    </xf>
    <xf numFmtId="0" fontId="15" fillId="11" borderId="93" xfId="0" applyFont="1" applyFill="1" applyBorder="1" applyAlignment="1">
      <alignment horizontal="center" vertical="center"/>
    </xf>
    <xf numFmtId="2" fontId="15" fillId="11" borderId="48" xfId="0" applyNumberFormat="1" applyFont="1" applyFill="1" applyBorder="1" applyAlignment="1">
      <alignment horizontal="center" vertical="center"/>
    </xf>
    <xf numFmtId="2" fontId="20" fillId="10" borderId="49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2" fontId="4" fillId="11" borderId="2" xfId="0" applyNumberFormat="1" applyFont="1" applyFill="1" applyBorder="1" applyAlignment="1">
      <alignment horizontal="center" vertical="center"/>
    </xf>
    <xf numFmtId="2" fontId="6" fillId="11" borderId="12" xfId="0" applyNumberFormat="1" applyFont="1" applyFill="1" applyBorder="1" applyAlignment="1">
      <alignment horizontal="center" vertical="center"/>
    </xf>
    <xf numFmtId="2" fontId="6" fillId="11" borderId="15" xfId="0" applyNumberFormat="1" applyFont="1" applyFill="1" applyBorder="1" applyAlignment="1">
      <alignment horizontal="center" vertical="center"/>
    </xf>
    <xf numFmtId="2" fontId="6" fillId="11" borderId="13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164" fontId="19" fillId="11" borderId="39" xfId="0" applyNumberFormat="1" applyFont="1" applyFill="1" applyBorder="1" applyAlignment="1">
      <alignment horizontal="center" vertical="center"/>
    </xf>
    <xf numFmtId="164" fontId="19" fillId="11" borderId="15" xfId="0" applyNumberFormat="1" applyFont="1" applyFill="1" applyBorder="1" applyAlignment="1">
      <alignment horizontal="center" vertical="center"/>
    </xf>
    <xf numFmtId="164" fontId="19" fillId="11" borderId="44" xfId="0" applyNumberFormat="1" applyFont="1" applyFill="1" applyBorder="1" applyAlignment="1">
      <alignment horizontal="center" vertical="center"/>
    </xf>
    <xf numFmtId="1" fontId="19" fillId="10" borderId="80" xfId="0" applyNumberFormat="1" applyFont="1" applyFill="1" applyBorder="1" applyAlignment="1">
      <alignment horizontal="center" vertical="center" wrapText="1"/>
    </xf>
    <xf numFmtId="1" fontId="19" fillId="10" borderId="104" xfId="0" applyNumberFormat="1" applyFont="1" applyFill="1" applyBorder="1" applyAlignment="1">
      <alignment horizontal="center" vertical="center" wrapText="1"/>
    </xf>
    <xf numFmtId="1" fontId="19" fillId="10" borderId="90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164" fontId="6" fillId="11" borderId="12" xfId="0" applyNumberFormat="1" applyFont="1" applyFill="1" applyBorder="1" applyAlignment="1">
      <alignment horizontal="center" vertical="center"/>
    </xf>
    <xf numFmtId="164" fontId="6" fillId="11" borderId="15" xfId="0" applyNumberFormat="1" applyFont="1" applyFill="1" applyBorder="1" applyAlignment="1">
      <alignment horizontal="center" vertical="center"/>
    </xf>
    <xf numFmtId="164" fontId="6" fillId="11" borderId="13" xfId="0" applyNumberFormat="1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left" vertical="center" wrapText="1"/>
    </xf>
    <xf numFmtId="0" fontId="21" fillId="10" borderId="15" xfId="0" applyFont="1" applyFill="1" applyBorder="1" applyAlignment="1">
      <alignment horizontal="left" vertical="center" wrapText="1"/>
    </xf>
    <xf numFmtId="0" fontId="21" fillId="10" borderId="13" xfId="0" applyFont="1" applyFill="1" applyBorder="1" applyAlignment="1">
      <alignment horizontal="left" vertical="center" wrapText="1"/>
    </xf>
    <xf numFmtId="164" fontId="6" fillId="10" borderId="12" xfId="0" applyNumberFormat="1" applyFont="1" applyFill="1" applyBorder="1" applyAlignment="1">
      <alignment horizontal="center" vertical="center" wrapText="1"/>
    </xf>
    <xf numFmtId="164" fontId="6" fillId="10" borderId="15" xfId="0" applyNumberFormat="1" applyFont="1" applyFill="1" applyBorder="1" applyAlignment="1">
      <alignment horizontal="center" vertical="center" wrapText="1"/>
    </xf>
    <xf numFmtId="164" fontId="6" fillId="10" borderId="13" xfId="0" applyNumberFormat="1" applyFont="1" applyFill="1" applyBorder="1" applyAlignment="1">
      <alignment horizontal="center" vertical="center" wrapText="1"/>
    </xf>
    <xf numFmtId="167" fontId="15" fillId="10" borderId="12" xfId="0" applyNumberFormat="1" applyFont="1" applyFill="1" applyBorder="1" applyAlignment="1">
      <alignment horizontal="center" vertical="center" wrapText="1"/>
    </xf>
    <xf numFmtId="167" fontId="15" fillId="10" borderId="13" xfId="0" applyNumberFormat="1" applyFont="1" applyFill="1" applyBorder="1" applyAlignment="1">
      <alignment horizontal="center" vertical="center" wrapText="1"/>
    </xf>
    <xf numFmtId="164" fontId="15" fillId="10" borderId="12" xfId="0" applyNumberFormat="1" applyFont="1" applyFill="1" applyBorder="1" applyAlignment="1">
      <alignment horizontal="center" vertical="center" wrapText="1"/>
    </xf>
    <xf numFmtId="164" fontId="15" fillId="10" borderId="13" xfId="0" applyNumberFormat="1" applyFont="1" applyFill="1" applyBorder="1" applyAlignment="1">
      <alignment horizontal="center" vertical="center" wrapText="1"/>
    </xf>
    <xf numFmtId="2" fontId="15" fillId="10" borderId="97" xfId="6" applyNumberFormat="1" applyFont="1" applyFill="1" applyBorder="1" applyAlignment="1">
      <alignment horizontal="center" vertical="center" wrapText="1"/>
    </xf>
    <xf numFmtId="164" fontId="19" fillId="11" borderId="12" xfId="0" applyNumberFormat="1" applyFont="1" applyFill="1" applyBorder="1" applyAlignment="1">
      <alignment horizontal="center" vertical="center"/>
    </xf>
    <xf numFmtId="164" fontId="19" fillId="11" borderId="13" xfId="0" applyNumberFormat="1" applyFont="1" applyFill="1" applyBorder="1" applyAlignment="1">
      <alignment horizontal="center" vertical="center"/>
    </xf>
    <xf numFmtId="166" fontId="4" fillId="11" borderId="12" xfId="0" applyNumberFormat="1" applyFont="1" applyFill="1" applyBorder="1" applyAlignment="1">
      <alignment horizontal="center" vertical="center" wrapText="1"/>
    </xf>
    <xf numFmtId="166" fontId="4" fillId="11" borderId="13" xfId="0" applyNumberFormat="1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164" fontId="6" fillId="11" borderId="12" xfId="0" applyNumberFormat="1" applyFont="1" applyFill="1" applyBorder="1" applyAlignment="1">
      <alignment horizontal="center" vertical="center" wrapText="1"/>
    </xf>
    <xf numFmtId="164" fontId="6" fillId="11" borderId="13" xfId="0" applyNumberFormat="1" applyFont="1" applyFill="1" applyBorder="1" applyAlignment="1">
      <alignment horizontal="center" vertical="center" wrapText="1"/>
    </xf>
    <xf numFmtId="2" fontId="15" fillId="10" borderId="20" xfId="6" applyNumberFormat="1" applyFont="1" applyFill="1" applyBorder="1" applyAlignment="1">
      <alignment horizontal="center" vertical="center" wrapText="1"/>
    </xf>
    <xf numFmtId="0" fontId="4" fillId="10" borderId="114" xfId="6" applyFont="1" applyFill="1" applyBorder="1" applyAlignment="1">
      <alignment horizontal="center" vertical="center" wrapText="1"/>
    </xf>
    <xf numFmtId="0" fontId="4" fillId="10" borderId="97" xfId="6" applyFont="1" applyFill="1" applyBorder="1" applyAlignment="1">
      <alignment horizontal="center" vertical="center" wrapText="1"/>
    </xf>
    <xf numFmtId="0" fontId="6" fillId="10" borderId="97" xfId="6" applyFont="1" applyFill="1" applyBorder="1" applyAlignment="1">
      <alignment horizontal="center" vertical="center" wrapText="1"/>
    </xf>
    <xf numFmtId="2" fontId="6" fillId="10" borderId="2" xfId="6" applyNumberFormat="1" applyFont="1" applyFill="1" applyBorder="1" applyAlignment="1">
      <alignment horizontal="center" vertical="center" wrapText="1"/>
    </xf>
    <xf numFmtId="0" fontId="6" fillId="10" borderId="2" xfId="6" applyFont="1" applyFill="1" applyBorder="1" applyAlignment="1">
      <alignment horizontal="center" vertical="center" wrapText="1"/>
    </xf>
    <xf numFmtId="0" fontId="6" fillId="10" borderId="66" xfId="6" applyFont="1" applyFill="1" applyBorder="1" applyAlignment="1">
      <alignment horizontal="center" vertical="center" wrapText="1"/>
    </xf>
    <xf numFmtId="0" fontId="6" fillId="10" borderId="20" xfId="6" applyFont="1" applyFill="1" applyBorder="1" applyAlignment="1">
      <alignment horizontal="center" vertical="center" wrapText="1"/>
    </xf>
    <xf numFmtId="2" fontId="6" fillId="10" borderId="116" xfId="6" applyNumberFormat="1" applyFont="1" applyFill="1" applyBorder="1" applyAlignment="1">
      <alignment horizontal="center" vertical="center" wrapText="1"/>
    </xf>
    <xf numFmtId="2" fontId="6" fillId="10" borderId="20" xfId="6" applyNumberFormat="1" applyFont="1" applyFill="1" applyBorder="1" applyAlignment="1">
      <alignment horizontal="center" vertical="center" wrapText="1"/>
    </xf>
    <xf numFmtId="2" fontId="6" fillId="10" borderId="25" xfId="6" applyNumberFormat="1" applyFont="1" applyFill="1" applyBorder="1" applyAlignment="1">
      <alignment horizontal="center" vertical="center" wrapText="1"/>
    </xf>
    <xf numFmtId="2" fontId="6" fillId="10" borderId="22" xfId="6" applyNumberFormat="1" applyFont="1" applyFill="1" applyBorder="1" applyAlignment="1">
      <alignment horizontal="center" vertical="center" wrapText="1"/>
    </xf>
    <xf numFmtId="0" fontId="6" fillId="10" borderId="27" xfId="6" applyFont="1" applyFill="1" applyBorder="1" applyAlignment="1">
      <alignment horizontal="center" vertical="center" wrapText="1"/>
    </xf>
    <xf numFmtId="0" fontId="4" fillId="10" borderId="92" xfId="6" applyFont="1" applyFill="1" applyBorder="1" applyAlignment="1">
      <alignment horizontal="center" vertical="center" wrapText="1"/>
    </xf>
    <xf numFmtId="0" fontId="4" fillId="10" borderId="27" xfId="6" applyFont="1" applyFill="1" applyBorder="1" applyAlignment="1">
      <alignment horizontal="center" vertical="center" wrapText="1"/>
    </xf>
    <xf numFmtId="164" fontId="4" fillId="11" borderId="12" xfId="0" applyNumberFormat="1" applyFont="1" applyFill="1" applyBorder="1" applyAlignment="1">
      <alignment horizontal="center" vertical="center" wrapText="1"/>
    </xf>
    <xf numFmtId="164" fontId="4" fillId="11" borderId="15" xfId="0" applyNumberFormat="1" applyFont="1" applyFill="1" applyBorder="1" applyAlignment="1">
      <alignment horizontal="center" vertical="center" wrapText="1"/>
    </xf>
    <xf numFmtId="164" fontId="4" fillId="11" borderId="13" xfId="0" applyNumberFormat="1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0" borderId="17" xfId="6" applyFont="1" applyFill="1" applyBorder="1" applyAlignment="1">
      <alignment horizontal="center" vertical="center" wrapText="1"/>
    </xf>
    <xf numFmtId="0" fontId="4" fillId="10" borderId="20" xfId="6" applyFont="1" applyFill="1" applyBorder="1" applyAlignment="1">
      <alignment horizontal="center" vertical="center" wrapText="1"/>
    </xf>
    <xf numFmtId="0" fontId="15" fillId="11" borderId="26" xfId="0" applyNumberFormat="1" applyFont="1" applyFill="1" applyBorder="1" applyAlignment="1">
      <alignment horizontal="center" vertical="center" wrapText="1"/>
    </xf>
    <xf numFmtId="0" fontId="15" fillId="11" borderId="29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3" fontId="11" fillId="11" borderId="107" xfId="0" applyNumberFormat="1" applyFont="1" applyFill="1" applyBorder="1" applyAlignment="1">
      <alignment horizontal="center" vertical="center" wrapText="1"/>
    </xf>
    <xf numFmtId="3" fontId="11" fillId="11" borderId="13" xfId="0" applyNumberFormat="1" applyFont="1" applyFill="1" applyBorder="1" applyAlignment="1">
      <alignment horizontal="center" vertical="center" wrapText="1"/>
    </xf>
    <xf numFmtId="173" fontId="4" fillId="10" borderId="12" xfId="0" applyNumberFormat="1" applyFont="1" applyFill="1" applyBorder="1" applyAlignment="1">
      <alignment horizontal="center" vertical="center" wrapText="1"/>
    </xf>
    <xf numFmtId="173" fontId="4" fillId="10" borderId="15" xfId="0" applyNumberFormat="1" applyFont="1" applyFill="1" applyBorder="1" applyAlignment="1">
      <alignment horizontal="center" vertical="center" wrapText="1"/>
    </xf>
    <xf numFmtId="173" fontId="4" fillId="10" borderId="13" xfId="0" applyNumberFormat="1" applyFont="1" applyFill="1" applyBorder="1" applyAlignment="1">
      <alignment horizontal="center" vertical="center" wrapText="1"/>
    </xf>
    <xf numFmtId="4" fontId="15" fillId="10" borderId="100" xfId="6" applyNumberFormat="1" applyFont="1" applyFill="1" applyBorder="1" applyAlignment="1">
      <alignment horizontal="center" vertical="center" wrapText="1"/>
    </xf>
    <xf numFmtId="4" fontId="15" fillId="10" borderId="102" xfId="6" applyNumberFormat="1" applyFont="1" applyFill="1" applyBorder="1" applyAlignment="1">
      <alignment horizontal="center" vertical="center" wrapText="1"/>
    </xf>
    <xf numFmtId="0" fontId="4" fillId="11" borderId="65" xfId="0" applyNumberFormat="1" applyFont="1" applyFill="1" applyBorder="1" applyAlignment="1">
      <alignment horizontal="center" vertical="center" wrapText="1"/>
    </xf>
    <xf numFmtId="0" fontId="4" fillId="11" borderId="62" xfId="0" applyNumberFormat="1" applyFont="1" applyFill="1" applyBorder="1" applyAlignment="1">
      <alignment horizontal="center" vertical="center" wrapText="1"/>
    </xf>
    <xf numFmtId="0" fontId="4" fillId="10" borderId="66" xfId="6" applyFont="1" applyFill="1" applyBorder="1" applyAlignment="1">
      <alignment horizontal="left" vertical="center" wrapText="1"/>
    </xf>
    <xf numFmtId="0" fontId="4" fillId="10" borderId="63" xfId="6" applyFont="1" applyFill="1" applyBorder="1" applyAlignment="1">
      <alignment horizontal="left" vertical="center" wrapText="1"/>
    </xf>
    <xf numFmtId="4" fontId="15" fillId="10" borderId="98" xfId="6" applyNumberFormat="1" applyFont="1" applyFill="1" applyBorder="1" applyAlignment="1">
      <alignment horizontal="center" vertical="center" wrapText="1"/>
    </xf>
    <xf numFmtId="0" fontId="15" fillId="10" borderId="2" xfId="6" applyFont="1" applyFill="1" applyBorder="1" applyAlignment="1">
      <alignment horizontal="center" vertical="center" wrapText="1"/>
    </xf>
    <xf numFmtId="4" fontId="15" fillId="10" borderId="2" xfId="6" applyNumberFormat="1" applyFont="1" applyFill="1" applyBorder="1" applyAlignment="1">
      <alignment horizontal="center" vertical="center" wrapText="1"/>
    </xf>
    <xf numFmtId="4" fontId="15" fillId="10" borderId="69" xfId="6" applyNumberFormat="1" applyFont="1" applyFill="1" applyBorder="1" applyAlignment="1">
      <alignment horizontal="center" vertical="center" wrapText="1"/>
    </xf>
    <xf numFmtId="4" fontId="15" fillId="10" borderId="71" xfId="6" applyNumberFormat="1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2" fontId="4" fillId="11" borderId="12" xfId="0" applyNumberFormat="1" applyFont="1" applyFill="1" applyBorder="1" applyAlignment="1">
      <alignment horizontal="center" vertical="center" wrapText="1"/>
    </xf>
    <xf numFmtId="2" fontId="4" fillId="11" borderId="13" xfId="0" applyNumberFormat="1" applyFont="1" applyFill="1" applyBorder="1" applyAlignment="1">
      <alignment horizontal="center" vertical="center" wrapText="1"/>
    </xf>
    <xf numFmtId="164" fontId="4" fillId="10" borderId="12" xfId="0" applyNumberFormat="1" applyFont="1" applyFill="1" applyBorder="1" applyAlignment="1">
      <alignment horizontal="center" vertical="center" wrapText="1"/>
    </xf>
    <xf numFmtId="164" fontId="4" fillId="10" borderId="15" xfId="0" applyNumberFormat="1" applyFont="1" applyFill="1" applyBorder="1" applyAlignment="1">
      <alignment horizontal="center" vertical="center" wrapText="1"/>
    </xf>
    <xf numFmtId="164" fontId="4" fillId="10" borderId="13" xfId="0" applyNumberFormat="1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15" fillId="10" borderId="65" xfId="6" applyFont="1" applyFill="1" applyBorder="1" applyAlignment="1">
      <alignment horizontal="center" vertical="center" wrapText="1"/>
    </xf>
    <xf numFmtId="0" fontId="15" fillId="10" borderId="62" xfId="6" applyFont="1" applyFill="1" applyBorder="1" applyAlignment="1">
      <alignment horizontal="center" vertical="center" wrapText="1"/>
    </xf>
    <xf numFmtId="0" fontId="15" fillId="10" borderId="66" xfId="6" applyFont="1" applyFill="1" applyBorder="1" applyAlignment="1">
      <alignment horizontal="center" vertical="center" wrapText="1"/>
    </xf>
    <xf numFmtId="0" fontId="15" fillId="10" borderId="63" xfId="6" applyFont="1" applyFill="1" applyBorder="1" applyAlignment="1">
      <alignment horizontal="center" vertical="center" wrapText="1"/>
    </xf>
    <xf numFmtId="167" fontId="4" fillId="10" borderId="66" xfId="2" applyNumberFormat="1" applyFont="1" applyFill="1" applyBorder="1" applyAlignment="1">
      <alignment horizontal="center" vertical="center" wrapText="1"/>
    </xf>
    <xf numFmtId="167" fontId="4" fillId="10" borderId="63" xfId="2" applyNumberFormat="1" applyFont="1" applyFill="1" applyBorder="1" applyAlignment="1">
      <alignment horizontal="center" vertical="center" wrapText="1"/>
    </xf>
    <xf numFmtId="164" fontId="4" fillId="10" borderId="66" xfId="2" applyNumberFormat="1" applyFont="1" applyFill="1" applyBorder="1" applyAlignment="1">
      <alignment horizontal="center" vertical="center" wrapText="1"/>
    </xf>
    <xf numFmtId="164" fontId="4" fillId="10" borderId="63" xfId="2" applyNumberFormat="1" applyFont="1" applyFill="1" applyBorder="1" applyAlignment="1">
      <alignment horizontal="center" vertical="center" wrapText="1"/>
    </xf>
    <xf numFmtId="167" fontId="19" fillId="10" borderId="17" xfId="2" applyNumberFormat="1" applyFont="1" applyFill="1" applyBorder="1" applyAlignment="1">
      <alignment horizontal="center" vertical="center" wrapText="1"/>
    </xf>
    <xf numFmtId="167" fontId="19" fillId="10" borderId="20" xfId="2" applyNumberFormat="1" applyFont="1" applyFill="1" applyBorder="1" applyAlignment="1">
      <alignment horizontal="center" vertical="center" wrapText="1"/>
    </xf>
    <xf numFmtId="164" fontId="15" fillId="10" borderId="15" xfId="0" applyNumberFormat="1" applyFont="1" applyFill="1" applyBorder="1" applyAlignment="1">
      <alignment horizontal="center" vertical="center" wrapText="1"/>
    </xf>
    <xf numFmtId="3" fontId="11" fillId="11" borderId="76" xfId="0" applyNumberFormat="1" applyFont="1" applyFill="1" applyBorder="1" applyAlignment="1">
      <alignment horizontal="center" vertical="center" wrapText="1"/>
    </xf>
    <xf numFmtId="3" fontId="11" fillId="11" borderId="37" xfId="0" applyNumberFormat="1" applyFont="1" applyFill="1" applyBorder="1" applyAlignment="1">
      <alignment horizontal="center" vertical="center" wrapText="1"/>
    </xf>
    <xf numFmtId="3" fontId="11" fillId="11" borderId="51" xfId="0" applyNumberFormat="1" applyFont="1" applyFill="1" applyBorder="1" applyAlignment="1">
      <alignment horizontal="center" vertical="center" wrapText="1"/>
    </xf>
    <xf numFmtId="3" fontId="11" fillId="11" borderId="56" xfId="0" applyNumberFormat="1" applyFont="1" applyFill="1" applyBorder="1" applyAlignment="1">
      <alignment horizontal="center" vertical="center" wrapText="1"/>
    </xf>
    <xf numFmtId="3" fontId="11" fillId="11" borderId="52" xfId="0" applyNumberFormat="1" applyFont="1" applyFill="1" applyBorder="1" applyAlignment="1">
      <alignment horizontal="center" vertical="center" wrapText="1"/>
    </xf>
    <xf numFmtId="3" fontId="11" fillId="11" borderId="12" xfId="0" applyNumberFormat="1" applyFont="1" applyFill="1" applyBorder="1" applyAlignment="1">
      <alignment horizontal="center" vertical="center" wrapText="1"/>
    </xf>
    <xf numFmtId="164" fontId="19" fillId="10" borderId="17" xfId="2" applyNumberFormat="1" applyFont="1" applyFill="1" applyBorder="1" applyAlignment="1">
      <alignment horizontal="center" vertical="center" wrapText="1"/>
    </xf>
    <xf numFmtId="164" fontId="19" fillId="10" borderId="20" xfId="2" applyNumberFormat="1" applyFont="1" applyFill="1" applyBorder="1" applyAlignment="1">
      <alignment horizontal="center" vertical="center" wrapText="1"/>
    </xf>
    <xf numFmtId="167" fontId="19" fillId="10" borderId="27" xfId="2" applyNumberFormat="1" applyFont="1" applyFill="1" applyBorder="1" applyAlignment="1">
      <alignment horizontal="center" vertical="center" wrapText="1"/>
    </xf>
    <xf numFmtId="164" fontId="19" fillId="10" borderId="27" xfId="2" applyNumberFormat="1" applyFont="1" applyFill="1" applyBorder="1" applyAlignment="1">
      <alignment horizontal="center" vertical="center" wrapText="1"/>
    </xf>
    <xf numFmtId="167" fontId="15" fillId="10" borderId="12" xfId="0" applyNumberFormat="1" applyFont="1" applyFill="1" applyBorder="1" applyAlignment="1">
      <alignment horizontal="center" vertical="center"/>
    </xf>
    <xf numFmtId="167" fontId="15" fillId="10" borderId="15" xfId="0" applyNumberFormat="1" applyFont="1" applyFill="1" applyBorder="1" applyAlignment="1">
      <alignment horizontal="center" vertical="center"/>
    </xf>
    <xf numFmtId="167" fontId="15" fillId="10" borderId="13" xfId="0" applyNumberFormat="1" applyFont="1" applyFill="1" applyBorder="1" applyAlignment="1">
      <alignment horizontal="center" vertical="center"/>
    </xf>
    <xf numFmtId="167" fontId="15" fillId="10" borderId="15" xfId="0" applyNumberFormat="1" applyFont="1" applyFill="1" applyBorder="1" applyAlignment="1">
      <alignment horizontal="center" vertical="center" wrapText="1"/>
    </xf>
    <xf numFmtId="165" fontId="15" fillId="10" borderId="12" xfId="0" applyNumberFormat="1" applyFont="1" applyFill="1" applyBorder="1" applyAlignment="1">
      <alignment horizontal="center" vertical="center" wrapText="1"/>
    </xf>
    <xf numFmtId="165" fontId="15" fillId="10" borderId="15" xfId="0" applyNumberFormat="1" applyFont="1" applyFill="1" applyBorder="1" applyAlignment="1">
      <alignment horizontal="center" vertical="center" wrapText="1"/>
    </xf>
    <xf numFmtId="3" fontId="15" fillId="11" borderId="37" xfId="0" applyNumberFormat="1" applyFont="1" applyFill="1" applyBorder="1" applyAlignment="1">
      <alignment horizontal="center" vertical="center" wrapText="1"/>
    </xf>
    <xf numFmtId="3" fontId="15" fillId="11" borderId="12" xfId="0" applyNumberFormat="1" applyFont="1" applyFill="1" applyBorder="1" applyAlignment="1">
      <alignment horizontal="center" vertical="center"/>
    </xf>
    <xf numFmtId="0" fontId="19" fillId="10" borderId="27" xfId="6" applyFont="1" applyFill="1" applyBorder="1" applyAlignment="1">
      <alignment horizontal="left" vertical="top" wrapText="1"/>
    </xf>
    <xf numFmtId="0" fontId="19" fillId="10" borderId="20" xfId="6" applyFont="1" applyFill="1" applyBorder="1" applyAlignment="1">
      <alignment horizontal="left" vertical="top" wrapText="1"/>
    </xf>
    <xf numFmtId="0" fontId="15" fillId="10" borderId="77" xfId="0" applyFont="1" applyFill="1" applyBorder="1" applyAlignment="1">
      <alignment horizontal="center" vertical="center" wrapText="1"/>
    </xf>
    <xf numFmtId="167" fontId="15" fillId="10" borderId="40" xfId="0" applyNumberFormat="1" applyFont="1" applyFill="1" applyBorder="1" applyAlignment="1">
      <alignment horizontal="center" vertical="center"/>
    </xf>
    <xf numFmtId="167" fontId="15" fillId="10" borderId="2" xfId="0" applyNumberFormat="1" applyFont="1" applyFill="1" applyBorder="1" applyAlignment="1">
      <alignment horizontal="center" vertical="center"/>
    </xf>
    <xf numFmtId="167" fontId="15" fillId="10" borderId="45" xfId="0" applyNumberFormat="1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 wrapText="1"/>
    </xf>
    <xf numFmtId="164" fontId="6" fillId="11" borderId="15" xfId="0" applyNumberFormat="1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3" fontId="11" fillId="11" borderId="43" xfId="0" applyNumberFormat="1" applyFont="1" applyFill="1" applyBorder="1" applyAlignment="1">
      <alignment horizontal="center" vertical="center" wrapText="1"/>
    </xf>
    <xf numFmtId="0" fontId="8" fillId="10" borderId="80" xfId="2" applyFont="1" applyFill="1" applyBorder="1" applyAlignment="1">
      <alignment horizontal="center" vertical="center" wrapText="1"/>
    </xf>
    <xf numFmtId="0" fontId="8" fillId="10" borderId="77" xfId="2" applyFont="1" applyFill="1" applyBorder="1" applyAlignment="1">
      <alignment horizontal="center" vertical="center" wrapText="1"/>
    </xf>
    <xf numFmtId="0" fontId="19" fillId="10" borderId="80" xfId="0" applyFont="1" applyFill="1" applyBorder="1" applyAlignment="1">
      <alignment horizontal="left" vertical="center" wrapText="1"/>
    </xf>
    <xf numFmtId="0" fontId="19" fillId="10" borderId="77" xfId="0" applyFont="1" applyFill="1" applyBorder="1" applyAlignment="1">
      <alignment horizontal="left" vertical="center" wrapText="1"/>
    </xf>
    <xf numFmtId="166" fontId="15" fillId="10" borderId="15" xfId="0" applyNumberFormat="1" applyFont="1" applyFill="1" applyBorder="1" applyAlignment="1">
      <alignment horizontal="center" vertical="center" wrapText="1"/>
    </xf>
    <xf numFmtId="164" fontId="15" fillId="10" borderId="80" xfId="0" applyNumberFormat="1" applyFont="1" applyFill="1" applyBorder="1" applyAlignment="1">
      <alignment horizontal="center" vertical="center" wrapText="1"/>
    </xf>
    <xf numFmtId="164" fontId="15" fillId="10" borderId="79" xfId="0" applyNumberFormat="1" applyFont="1" applyFill="1" applyBorder="1" applyAlignment="1">
      <alignment horizontal="center" vertical="center" wrapText="1"/>
    </xf>
    <xf numFmtId="165" fontId="15" fillId="10" borderId="79" xfId="0" applyNumberFormat="1" applyFont="1" applyFill="1" applyBorder="1" applyAlignment="1">
      <alignment horizontal="center" vertical="center" wrapText="1"/>
    </xf>
    <xf numFmtId="164" fontId="15" fillId="15" borderId="12" xfId="9" applyNumberFormat="1" applyFont="1" applyFill="1" applyBorder="1" applyAlignment="1">
      <alignment horizontal="center" vertical="center" wrapText="1"/>
    </xf>
    <xf numFmtId="164" fontId="15" fillId="15" borderId="15" xfId="9" applyNumberFormat="1" applyFont="1" applyFill="1" applyBorder="1" applyAlignment="1">
      <alignment horizontal="center" vertical="center" wrapText="1"/>
    </xf>
    <xf numFmtId="164" fontId="15" fillId="15" borderId="13" xfId="9" applyNumberFormat="1" applyFont="1" applyFill="1" applyBorder="1" applyAlignment="1">
      <alignment horizontal="center" vertical="center" wrapText="1"/>
    </xf>
    <xf numFmtId="166" fontId="15" fillId="10" borderId="77" xfId="0" applyNumberFormat="1" applyFont="1" applyFill="1" applyBorder="1" applyAlignment="1">
      <alignment horizontal="center" vertical="center" wrapText="1"/>
    </xf>
    <xf numFmtId="0" fontId="15" fillId="10" borderId="118" xfId="0" applyFont="1" applyFill="1" applyBorder="1" applyAlignment="1">
      <alignment horizontal="center" vertical="center"/>
    </xf>
    <xf numFmtId="0" fontId="15" fillId="10" borderId="93" xfId="0" applyFont="1" applyFill="1" applyBorder="1" applyAlignment="1">
      <alignment horizontal="center" vertical="center"/>
    </xf>
    <xf numFmtId="0" fontId="15" fillId="10" borderId="119" xfId="0" applyFont="1" applyFill="1" applyBorder="1" applyAlignment="1">
      <alignment horizontal="center" vertical="center"/>
    </xf>
    <xf numFmtId="165" fontId="15" fillId="10" borderId="39" xfId="0" applyNumberFormat="1" applyFont="1" applyFill="1" applyBorder="1" applyAlignment="1">
      <alignment horizontal="center" vertical="center" wrapText="1"/>
    </xf>
    <xf numFmtId="165" fontId="15" fillId="10" borderId="44" xfId="0" applyNumberFormat="1" applyFont="1" applyFill="1" applyBorder="1" applyAlignment="1">
      <alignment horizontal="center" vertical="center" wrapText="1"/>
    </xf>
    <xf numFmtId="2" fontId="15" fillId="11" borderId="2" xfId="0" applyNumberFormat="1" applyFont="1" applyFill="1" applyBorder="1" applyAlignment="1">
      <alignment horizontal="center" vertical="center" wrapText="1"/>
    </xf>
    <xf numFmtId="164" fontId="15" fillId="11" borderId="107" xfId="0" applyNumberFormat="1" applyFont="1" applyFill="1" applyBorder="1" applyAlignment="1">
      <alignment horizontal="center" vertical="center"/>
    </xf>
    <xf numFmtId="2" fontId="15" fillId="11" borderId="107" xfId="0" applyNumberFormat="1" applyFont="1" applyFill="1" applyBorder="1" applyAlignment="1">
      <alignment horizontal="center" vertical="center"/>
    </xf>
    <xf numFmtId="0" fontId="11" fillId="11" borderId="107" xfId="0" applyFont="1" applyFill="1" applyBorder="1" applyAlignment="1">
      <alignment horizontal="center" vertical="center"/>
    </xf>
    <xf numFmtId="166" fontId="15" fillId="11" borderId="13" xfId="0" applyNumberFormat="1" applyFont="1" applyFill="1" applyBorder="1" applyAlignment="1">
      <alignment horizontal="center" vertical="center" wrapText="1"/>
    </xf>
    <xf numFmtId="166" fontId="15" fillId="11" borderId="2" xfId="0" applyNumberFormat="1" applyFont="1" applyFill="1" applyBorder="1" applyAlignment="1">
      <alignment horizontal="center" vertical="center" wrapText="1"/>
    </xf>
    <xf numFmtId="166" fontId="15" fillId="11" borderId="12" xfId="0" applyNumberFormat="1" applyFont="1" applyFill="1" applyBorder="1" applyAlignment="1">
      <alignment horizontal="center" vertical="center" wrapText="1"/>
    </xf>
    <xf numFmtId="4" fontId="15" fillId="11" borderId="2" xfId="0" applyNumberFormat="1" applyFont="1" applyFill="1" applyBorder="1" applyAlignment="1">
      <alignment horizontal="center" vertical="center" wrapText="1"/>
    </xf>
    <xf numFmtId="4" fontId="15" fillId="11" borderId="3" xfId="0" applyNumberFormat="1" applyFont="1" applyFill="1" applyBorder="1" applyAlignment="1">
      <alignment horizontal="center" vertical="center" wrapText="1"/>
    </xf>
    <xf numFmtId="3" fontId="15" fillId="10" borderId="12" xfId="0" applyNumberFormat="1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45" xfId="0" applyFont="1" applyFill="1" applyBorder="1" applyAlignment="1">
      <alignment horizontal="center" vertical="center"/>
    </xf>
    <xf numFmtId="3" fontId="15" fillId="11" borderId="53" xfId="0" applyNumberFormat="1" applyFont="1" applyFill="1" applyBorder="1" applyAlignment="1">
      <alignment horizontal="center" vertical="center"/>
    </xf>
    <xf numFmtId="0" fontId="15" fillId="11" borderId="52" xfId="0" applyFont="1" applyFill="1" applyBorder="1" applyAlignment="1">
      <alignment horizontal="center" vertical="center"/>
    </xf>
    <xf numFmtId="3" fontId="15" fillId="11" borderId="12" xfId="0" applyNumberFormat="1" applyFont="1" applyFill="1" applyBorder="1" applyAlignment="1">
      <alignment horizontal="center" vertical="center" wrapText="1"/>
    </xf>
    <xf numFmtId="3" fontId="15" fillId="11" borderId="13" xfId="0" applyNumberFormat="1" applyFont="1" applyFill="1" applyBorder="1" applyAlignment="1">
      <alignment horizontal="center" vertical="center" wrapText="1"/>
    </xf>
    <xf numFmtId="0" fontId="15" fillId="11" borderId="80" xfId="0" applyFont="1" applyFill="1" applyBorder="1" applyAlignment="1">
      <alignment horizontal="center" vertical="center"/>
    </xf>
    <xf numFmtId="0" fontId="15" fillId="11" borderId="77" xfId="0" applyFont="1" applyFill="1" applyBorder="1" applyAlignment="1">
      <alignment horizontal="center" vertical="center"/>
    </xf>
    <xf numFmtId="0" fontId="15" fillId="11" borderId="86" xfId="0" applyFont="1" applyFill="1" applyBorder="1" applyAlignment="1">
      <alignment horizontal="center" vertical="center"/>
    </xf>
    <xf numFmtId="0" fontId="15" fillId="11" borderId="77" xfId="0" applyFont="1" applyFill="1" applyBorder="1" applyAlignment="1">
      <alignment horizontal="center" vertical="center" wrapText="1"/>
    </xf>
    <xf numFmtId="167" fontId="19" fillId="10" borderId="80" xfId="0" applyNumberFormat="1" applyFont="1" applyFill="1" applyBorder="1" applyAlignment="1">
      <alignment horizontal="center" vertical="center"/>
    </xf>
    <xf numFmtId="167" fontId="19" fillId="10" borderId="77" xfId="0" applyNumberFormat="1" applyFont="1" applyFill="1" applyBorder="1" applyAlignment="1">
      <alignment horizontal="center" vertical="center"/>
    </xf>
    <xf numFmtId="167" fontId="19" fillId="10" borderId="44" xfId="0" applyNumberFormat="1" applyFont="1" applyFill="1" applyBorder="1" applyAlignment="1">
      <alignment horizontal="center" vertical="center"/>
    </xf>
    <xf numFmtId="164" fontId="19" fillId="10" borderId="80" xfId="0" applyNumberFormat="1" applyFont="1" applyFill="1" applyBorder="1" applyAlignment="1">
      <alignment horizontal="center" vertical="center" wrapText="1"/>
    </xf>
    <xf numFmtId="164" fontId="19" fillId="10" borderId="77" xfId="0" applyNumberFormat="1" applyFont="1" applyFill="1" applyBorder="1" applyAlignment="1">
      <alignment horizontal="center" vertical="center" wrapText="1"/>
    </xf>
    <xf numFmtId="164" fontId="19" fillId="10" borderId="44" xfId="0" applyNumberFormat="1" applyFont="1" applyFill="1" applyBorder="1" applyAlignment="1">
      <alignment horizontal="center" vertical="center" wrapText="1"/>
    </xf>
    <xf numFmtId="0" fontId="6" fillId="11" borderId="80" xfId="0" applyFont="1" applyFill="1" applyBorder="1" applyAlignment="1">
      <alignment horizontal="center" vertical="center"/>
    </xf>
    <xf numFmtId="0" fontId="6" fillId="11" borderId="77" xfId="0" applyFont="1" applyFill="1" applyBorder="1" applyAlignment="1">
      <alignment horizontal="center" vertical="center"/>
    </xf>
    <xf numFmtId="0" fontId="6" fillId="11" borderId="44" xfId="0" applyFont="1" applyFill="1" applyBorder="1" applyAlignment="1">
      <alignment horizontal="center" vertical="center"/>
    </xf>
    <xf numFmtId="2" fontId="30" fillId="10" borderId="80" xfId="2" applyNumberFormat="1" applyFont="1" applyFill="1" applyBorder="1" applyAlignment="1">
      <alignment horizontal="left" vertical="center" wrapText="1"/>
    </xf>
    <xf numFmtId="2" fontId="30" fillId="10" borderId="93" xfId="2" applyNumberFormat="1" applyFont="1" applyFill="1" applyBorder="1" applyAlignment="1">
      <alignment horizontal="left" vertical="center" wrapText="1"/>
    </xf>
    <xf numFmtId="2" fontId="30" fillId="10" borderId="13" xfId="2" applyNumberFormat="1" applyFont="1" applyFill="1" applyBorder="1" applyAlignment="1">
      <alignment horizontal="left" vertical="center" wrapText="1"/>
    </xf>
    <xf numFmtId="0" fontId="30" fillId="10" borderId="80" xfId="0" applyFont="1" applyFill="1" applyBorder="1" applyAlignment="1">
      <alignment horizontal="center" vertical="center" wrapText="1"/>
    </xf>
    <xf numFmtId="0" fontId="30" fillId="10" borderId="93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3" fontId="11" fillId="11" borderId="80" xfId="0" applyNumberFormat="1" applyFont="1" applyFill="1" applyBorder="1" applyAlignment="1">
      <alignment horizontal="center" vertical="center" wrapText="1"/>
    </xf>
    <xf numFmtId="3" fontId="11" fillId="11" borderId="93" xfId="0" applyNumberFormat="1" applyFont="1" applyFill="1" applyBorder="1" applyAlignment="1">
      <alignment horizontal="center" vertical="center" wrapText="1"/>
    </xf>
    <xf numFmtId="3" fontId="15" fillId="11" borderId="76" xfId="0" applyNumberFormat="1" applyFont="1" applyFill="1" applyBorder="1" applyAlignment="1">
      <alignment horizontal="center" vertical="center" wrapText="1"/>
    </xf>
    <xf numFmtId="164" fontId="15" fillId="10" borderId="93" xfId="0" applyNumberFormat="1" applyFont="1" applyFill="1" applyBorder="1" applyAlignment="1">
      <alignment horizontal="center" vertical="center" wrapText="1"/>
    </xf>
    <xf numFmtId="164" fontId="15" fillId="10" borderId="90" xfId="0" applyNumberFormat="1" applyFont="1" applyFill="1" applyBorder="1" applyAlignment="1">
      <alignment horizontal="center" vertical="center" wrapText="1"/>
    </xf>
    <xf numFmtId="166" fontId="15" fillId="10" borderId="80" xfId="0" applyNumberFormat="1" applyFont="1" applyFill="1" applyBorder="1" applyAlignment="1">
      <alignment horizontal="left" vertical="center" wrapText="1"/>
    </xf>
    <xf numFmtId="166" fontId="15" fillId="10" borderId="77" xfId="0" applyNumberFormat="1" applyFont="1" applyFill="1" applyBorder="1" applyAlignment="1">
      <alignment horizontal="left" vertical="center" wrapText="1"/>
    </xf>
    <xf numFmtId="166" fontId="15" fillId="10" borderId="44" xfId="0" applyNumberFormat="1" applyFont="1" applyFill="1" applyBorder="1" applyAlignment="1">
      <alignment horizontal="left" vertical="center" wrapText="1"/>
    </xf>
    <xf numFmtId="166" fontId="15" fillId="10" borderId="89" xfId="0" applyNumberFormat="1" applyFont="1" applyFill="1" applyBorder="1" applyAlignment="1">
      <alignment horizontal="left" vertical="center" wrapText="1"/>
    </xf>
    <xf numFmtId="166" fontId="15" fillId="10" borderId="15" xfId="0" applyNumberFormat="1" applyFont="1" applyFill="1" applyBorder="1" applyAlignment="1">
      <alignment horizontal="left" vertical="center" wrapText="1"/>
    </xf>
    <xf numFmtId="0" fontId="15" fillId="10" borderId="67" xfId="0" applyFont="1" applyFill="1" applyBorder="1" applyAlignment="1">
      <alignment horizontal="center" vertical="center" wrapText="1"/>
    </xf>
    <xf numFmtId="0" fontId="15" fillId="10" borderId="64" xfId="0" applyFont="1" applyFill="1" applyBorder="1" applyAlignment="1">
      <alignment horizontal="center" vertical="center" wrapText="1"/>
    </xf>
    <xf numFmtId="165" fontId="15" fillId="11" borderId="39" xfId="0" applyNumberFormat="1" applyFont="1" applyFill="1" applyBorder="1" applyAlignment="1">
      <alignment horizontal="center" vertical="center" wrapText="1"/>
    </xf>
    <xf numFmtId="165" fontId="15" fillId="11" borderId="44" xfId="0" applyNumberFormat="1" applyFont="1" applyFill="1" applyBorder="1" applyAlignment="1">
      <alignment horizontal="center" vertical="center" wrapText="1"/>
    </xf>
    <xf numFmtId="166" fontId="27" fillId="10" borderId="80" xfId="0" applyNumberFormat="1" applyFont="1" applyFill="1" applyBorder="1" applyAlignment="1">
      <alignment horizontal="center" vertical="center" wrapText="1"/>
    </xf>
    <xf numFmtId="166" fontId="27" fillId="10" borderId="77" xfId="0" applyNumberFormat="1" applyFont="1" applyFill="1" applyBorder="1" applyAlignment="1">
      <alignment horizontal="center" vertical="center" wrapText="1"/>
    </xf>
    <xf numFmtId="166" fontId="27" fillId="10" borderId="44" xfId="0" applyNumberFormat="1" applyFont="1" applyFill="1" applyBorder="1" applyAlignment="1">
      <alignment horizontal="center" vertical="center" wrapText="1"/>
    </xf>
    <xf numFmtId="0" fontId="15" fillId="10" borderId="81" xfId="0" applyFont="1" applyFill="1" applyBorder="1" applyAlignment="1">
      <alignment horizontal="center" vertical="center" wrapText="1"/>
    </xf>
    <xf numFmtId="4" fontId="15" fillId="11" borderId="48" xfId="0" applyNumberFormat="1" applyFont="1" applyFill="1" applyBorder="1" applyAlignment="1">
      <alignment horizontal="center" vertical="center" wrapText="1"/>
    </xf>
    <xf numFmtId="4" fontId="15" fillId="11" borderId="46" xfId="0" applyNumberFormat="1" applyFont="1" applyFill="1" applyBorder="1" applyAlignment="1">
      <alignment horizontal="center" vertical="center" wrapText="1"/>
    </xf>
    <xf numFmtId="0" fontId="15" fillId="11" borderId="25" xfId="0" applyNumberFormat="1" applyFont="1" applyFill="1" applyBorder="1" applyAlignment="1">
      <alignment horizontal="center" vertical="center" wrapText="1"/>
    </xf>
    <xf numFmtId="0" fontId="19" fillId="10" borderId="17" xfId="6" applyFont="1" applyFill="1" applyBorder="1" applyAlignment="1">
      <alignment horizontal="left" vertical="top" wrapText="1"/>
    </xf>
    <xf numFmtId="3" fontId="15" fillId="11" borderId="39" xfId="0" applyNumberFormat="1" applyFont="1" applyFill="1" applyBorder="1" applyAlignment="1">
      <alignment horizontal="center" vertical="center" wrapText="1"/>
    </xf>
    <xf numFmtId="3" fontId="4" fillId="11" borderId="38" xfId="0" applyNumberFormat="1" applyFont="1" applyFill="1" applyBorder="1" applyAlignment="1">
      <alignment horizontal="center" vertical="center" wrapText="1"/>
    </xf>
    <xf numFmtId="3" fontId="4" fillId="11" borderId="43" xfId="0" applyNumberFormat="1" applyFont="1" applyFill="1" applyBorder="1" applyAlignment="1">
      <alignment horizontal="center" vertical="center" wrapText="1"/>
    </xf>
    <xf numFmtId="164" fontId="19" fillId="10" borderId="80" xfId="2" applyNumberFormat="1" applyFont="1" applyFill="1" applyBorder="1" applyAlignment="1">
      <alignment horizontal="left" vertical="center" wrapText="1"/>
    </xf>
    <xf numFmtId="164" fontId="19" fillId="10" borderId="77" xfId="2" applyNumberFormat="1" applyFont="1" applyFill="1" applyBorder="1" applyAlignment="1">
      <alignment horizontal="left" vertical="center" wrapText="1"/>
    </xf>
    <xf numFmtId="164" fontId="19" fillId="10" borderId="44" xfId="2" applyNumberFormat="1" applyFont="1" applyFill="1" applyBorder="1" applyAlignment="1">
      <alignment horizontal="left" vertical="center" wrapText="1"/>
    </xf>
    <xf numFmtId="0" fontId="8" fillId="10" borderId="80" xfId="2" applyFont="1" applyFill="1" applyBorder="1" applyAlignment="1">
      <alignment horizontal="left" vertical="center" wrapText="1"/>
    </xf>
    <xf numFmtId="0" fontId="8" fillId="10" borderId="77" xfId="2" applyFont="1" applyFill="1" applyBorder="1" applyAlignment="1">
      <alignment horizontal="left" vertical="center" wrapText="1"/>
    </xf>
    <xf numFmtId="0" fontId="8" fillId="10" borderId="44" xfId="2" applyFont="1" applyFill="1" applyBorder="1" applyAlignment="1">
      <alignment horizontal="left" vertical="center" wrapText="1"/>
    </xf>
    <xf numFmtId="0" fontId="15" fillId="10" borderId="97" xfId="6" applyFont="1" applyFill="1" applyBorder="1" applyAlignment="1">
      <alignment horizontal="center" vertical="center" wrapText="1"/>
    </xf>
    <xf numFmtId="0" fontId="15" fillId="11" borderId="12" xfId="0" applyNumberFormat="1" applyFont="1" applyFill="1" applyBorder="1" applyAlignment="1">
      <alignment horizontal="center" vertical="center" wrapText="1"/>
    </xf>
    <xf numFmtId="0" fontId="15" fillId="11" borderId="13" xfId="0" applyNumberFormat="1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left" vertical="center" wrapText="1"/>
    </xf>
    <xf numFmtId="0" fontId="19" fillId="10" borderId="13" xfId="0" applyFont="1" applyFill="1" applyBorder="1" applyAlignment="1">
      <alignment horizontal="left" vertical="center" wrapText="1"/>
    </xf>
    <xf numFmtId="0" fontId="15" fillId="10" borderId="95" xfId="6" applyFont="1" applyFill="1" applyBorder="1" applyAlignment="1">
      <alignment horizontal="center" vertical="center" wrapText="1"/>
    </xf>
    <xf numFmtId="0" fontId="15" fillId="10" borderId="96" xfId="6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2" fontId="15" fillId="10" borderId="115" xfId="6" applyNumberFormat="1" applyFont="1" applyFill="1" applyBorder="1" applyAlignment="1">
      <alignment horizontal="center" vertical="center" wrapText="1"/>
    </xf>
    <xf numFmtId="2" fontId="15" fillId="10" borderId="96" xfId="6" applyNumberFormat="1" applyFont="1" applyFill="1" applyBorder="1" applyAlignment="1">
      <alignment horizontal="center" vertical="center" wrapText="1"/>
    </xf>
    <xf numFmtId="2" fontId="15" fillId="10" borderId="24" xfId="6" applyNumberFormat="1" applyFont="1" applyFill="1" applyBorder="1" applyAlignment="1">
      <alignment horizontal="center" vertical="center" wrapText="1"/>
    </xf>
    <xf numFmtId="2" fontId="15" fillId="10" borderId="101" xfId="6" applyNumberFormat="1" applyFont="1" applyFill="1" applyBorder="1" applyAlignment="1">
      <alignment horizontal="center" vertical="center" wrapText="1"/>
    </xf>
    <xf numFmtId="2" fontId="15" fillId="10" borderId="114" xfId="6" applyNumberFormat="1" applyFont="1" applyFill="1" applyBorder="1" applyAlignment="1">
      <alignment horizontal="center" vertical="center" wrapText="1"/>
    </xf>
    <xf numFmtId="0" fontId="4" fillId="10" borderId="117" xfId="6" applyFont="1" applyFill="1" applyBorder="1" applyAlignment="1">
      <alignment horizontal="center" vertical="center" wrapText="1"/>
    </xf>
    <xf numFmtId="167" fontId="4" fillId="10" borderId="12" xfId="0" applyNumberFormat="1" applyFont="1" applyFill="1" applyBorder="1" applyAlignment="1">
      <alignment horizontal="center" vertical="center"/>
    </xf>
    <xf numFmtId="167" fontId="4" fillId="10" borderId="13" xfId="0" applyNumberFormat="1" applyFont="1" applyFill="1" applyBorder="1" applyAlignment="1">
      <alignment horizontal="center" vertical="center"/>
    </xf>
    <xf numFmtId="2" fontId="15" fillId="10" borderId="66" xfId="6" applyNumberFormat="1" applyFont="1" applyFill="1" applyBorder="1" applyAlignment="1">
      <alignment horizontal="center" vertical="center" wrapText="1"/>
    </xf>
    <xf numFmtId="2" fontId="15" fillId="10" borderId="63" xfId="6" applyNumberFormat="1" applyFont="1" applyFill="1" applyBorder="1" applyAlignment="1">
      <alignment horizontal="center" vertical="center" wrapText="1"/>
    </xf>
    <xf numFmtId="164" fontId="4" fillId="10" borderId="12" xfId="0" applyNumberFormat="1" applyFont="1" applyFill="1" applyBorder="1" applyAlignment="1">
      <alignment horizontal="center" vertical="center"/>
    </xf>
    <xf numFmtId="164" fontId="4" fillId="10" borderId="13" xfId="0" applyNumberFormat="1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left" vertical="top" wrapText="1"/>
    </xf>
    <xf numFmtId="0" fontId="15" fillId="10" borderId="13" xfId="0" applyFont="1" applyFill="1" applyBorder="1" applyAlignment="1">
      <alignment horizontal="left" vertical="top" wrapText="1"/>
    </xf>
    <xf numFmtId="1" fontId="15" fillId="10" borderId="12" xfId="0" applyNumberFormat="1" applyFont="1" applyFill="1" applyBorder="1" applyAlignment="1">
      <alignment horizontal="center" vertical="center"/>
    </xf>
    <xf numFmtId="1" fontId="15" fillId="10" borderId="13" xfId="0" applyNumberFormat="1" applyFont="1" applyFill="1" applyBorder="1" applyAlignment="1">
      <alignment horizontal="center" vertical="center"/>
    </xf>
    <xf numFmtId="167" fontId="11" fillId="10" borderId="107" xfId="0" applyNumberFormat="1" applyFont="1" applyFill="1" applyBorder="1" applyAlignment="1">
      <alignment horizontal="center" vertical="center" wrapText="1"/>
    </xf>
    <xf numFmtId="164" fontId="11" fillId="10" borderId="107" xfId="0" applyNumberFormat="1" applyFont="1" applyFill="1" applyBorder="1" applyAlignment="1">
      <alignment horizontal="center" vertical="center" wrapText="1"/>
    </xf>
    <xf numFmtId="3" fontId="11" fillId="11" borderId="15" xfId="0" applyNumberFormat="1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top" wrapText="1"/>
    </xf>
    <xf numFmtId="1" fontId="15" fillId="10" borderId="12" xfId="0" applyNumberFormat="1" applyFont="1" applyFill="1" applyBorder="1" applyAlignment="1">
      <alignment horizontal="center" vertical="center" wrapText="1"/>
    </xf>
    <xf numFmtId="1" fontId="15" fillId="10" borderId="13" xfId="0" applyNumberFormat="1" applyFont="1" applyFill="1" applyBorder="1" applyAlignment="1">
      <alignment horizontal="center" vertical="center" wrapText="1"/>
    </xf>
    <xf numFmtId="1" fontId="15" fillId="10" borderId="15" xfId="0" applyNumberFormat="1" applyFont="1" applyFill="1" applyBorder="1" applyAlignment="1">
      <alignment horizontal="center" vertical="center" wrapText="1"/>
    </xf>
    <xf numFmtId="0" fontId="19" fillId="10" borderId="2" xfId="2" applyFont="1" applyFill="1" applyBorder="1" applyAlignment="1">
      <alignment horizontal="center" vertical="center" wrapText="1"/>
    </xf>
    <xf numFmtId="2" fontId="6" fillId="10" borderId="12" xfId="0" applyNumberFormat="1" applyFont="1" applyFill="1" applyBorder="1" applyAlignment="1">
      <alignment horizontal="center" vertical="center" wrapText="1"/>
    </xf>
    <xf numFmtId="2" fontId="6" fillId="10" borderId="13" xfId="0" applyNumberFormat="1" applyFont="1" applyFill="1" applyBorder="1" applyAlignment="1">
      <alignment horizontal="center" vertical="center" wrapText="1"/>
    </xf>
    <xf numFmtId="0" fontId="15" fillId="10" borderId="92" xfId="6" applyFont="1" applyFill="1" applyBorder="1" applyAlignment="1">
      <alignment horizontal="center" vertical="center" wrapText="1"/>
    </xf>
    <xf numFmtId="0" fontId="4" fillId="10" borderId="21" xfId="6" applyFont="1" applyFill="1" applyBorder="1" applyAlignment="1">
      <alignment horizontal="center" vertical="center" wrapText="1"/>
    </xf>
    <xf numFmtId="0" fontId="4" fillId="10" borderId="22" xfId="6" applyFont="1" applyFill="1" applyBorder="1" applyAlignment="1">
      <alignment horizontal="center" vertical="center" wrapText="1"/>
    </xf>
    <xf numFmtId="167" fontId="15" fillId="10" borderId="2" xfId="2" applyNumberFormat="1" applyFont="1" applyFill="1" applyBorder="1" applyAlignment="1">
      <alignment horizontal="center" vertical="center" wrapText="1"/>
    </xf>
    <xf numFmtId="0" fontId="19" fillId="10" borderId="17" xfId="6" applyFont="1" applyFill="1" applyBorder="1" applyAlignment="1">
      <alignment horizontal="left" vertical="center" wrapText="1"/>
    </xf>
    <xf numFmtId="0" fontId="19" fillId="10" borderId="20" xfId="6" applyFont="1" applyFill="1" applyBorder="1" applyAlignment="1">
      <alignment horizontal="left" vertical="center" wrapText="1"/>
    </xf>
    <xf numFmtId="0" fontId="15" fillId="10" borderId="15" xfId="0" applyFont="1" applyFill="1" applyBorder="1" applyAlignment="1">
      <alignment horizontal="left" vertical="center" wrapText="1"/>
    </xf>
    <xf numFmtId="2" fontId="19" fillId="10" borderId="17" xfId="2" applyNumberFormat="1" applyFont="1" applyFill="1" applyBorder="1" applyAlignment="1">
      <alignment horizontal="center" vertical="center" wrapText="1"/>
    </xf>
    <xf numFmtId="2" fontId="19" fillId="10" borderId="20" xfId="2" applyNumberFormat="1" applyFont="1" applyFill="1" applyBorder="1" applyAlignment="1">
      <alignment horizontal="center" vertical="center" wrapText="1"/>
    </xf>
    <xf numFmtId="2" fontId="15" fillId="10" borderId="65" xfId="6" applyNumberFormat="1" applyFont="1" applyFill="1" applyBorder="1" applyAlignment="1">
      <alignment horizontal="center" vertical="center" wrapText="1"/>
    </xf>
    <xf numFmtId="2" fontId="15" fillId="10" borderId="62" xfId="6" applyNumberFormat="1" applyFont="1" applyFill="1" applyBorder="1" applyAlignment="1">
      <alignment horizontal="center" vertical="center" wrapText="1"/>
    </xf>
    <xf numFmtId="0" fontId="19" fillId="10" borderId="2" xfId="6" applyFont="1" applyFill="1" applyBorder="1" applyAlignment="1">
      <alignment horizontal="left" vertical="center" wrapText="1"/>
    </xf>
    <xf numFmtId="164" fontId="19" fillId="10" borderId="2" xfId="2" applyNumberFormat="1" applyFont="1" applyFill="1" applyBorder="1" applyAlignment="1">
      <alignment horizontal="center" vertical="center" wrapText="1"/>
    </xf>
    <xf numFmtId="164" fontId="19" fillId="10" borderId="12" xfId="2" applyNumberFormat="1" applyFont="1" applyFill="1" applyBorder="1" applyAlignment="1">
      <alignment horizontal="center" vertical="center" wrapText="1"/>
    </xf>
    <xf numFmtId="0" fontId="15" fillId="10" borderId="72" xfId="0" applyFont="1" applyFill="1" applyBorder="1" applyAlignment="1">
      <alignment horizontal="center" vertical="center" wrapText="1"/>
    </xf>
    <xf numFmtId="0" fontId="15" fillId="10" borderId="12" xfId="2" applyFont="1" applyFill="1" applyBorder="1" applyAlignment="1">
      <alignment horizontal="center" vertical="center" wrapText="1"/>
    </xf>
    <xf numFmtId="0" fontId="15" fillId="10" borderId="15" xfId="2" applyFont="1" applyFill="1" applyBorder="1" applyAlignment="1">
      <alignment horizontal="center" vertical="center" wrapText="1"/>
    </xf>
    <xf numFmtId="0" fontId="15" fillId="10" borderId="13" xfId="2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3" xfId="0" applyFont="1" applyFill="1" applyBorder="1" applyAlignment="1">
      <alignment horizontal="left" vertical="center" wrapText="1"/>
    </xf>
    <xf numFmtId="167" fontId="15" fillId="10" borderId="2" xfId="0" applyNumberFormat="1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left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37" fillId="10" borderId="7" xfId="0" applyFont="1" applyFill="1" applyBorder="1" applyAlignment="1">
      <alignment horizontal="left" vertical="center" wrapText="1"/>
    </xf>
    <xf numFmtId="0" fontId="15" fillId="10" borderId="2" xfId="2" applyFont="1" applyFill="1" applyBorder="1" applyAlignment="1">
      <alignment horizontal="center" vertical="center" wrapText="1"/>
    </xf>
    <xf numFmtId="166" fontId="15" fillId="11" borderId="15" xfId="0" applyNumberFormat="1" applyFont="1" applyFill="1" applyBorder="1" applyAlignment="1">
      <alignment horizontal="center" vertical="center" wrapText="1"/>
    </xf>
    <xf numFmtId="2" fontId="11" fillId="10" borderId="12" xfId="0" applyNumberFormat="1" applyFont="1" applyFill="1" applyBorder="1" applyAlignment="1">
      <alignment horizontal="center" vertical="center"/>
    </xf>
    <xf numFmtId="2" fontId="11" fillId="10" borderId="15" xfId="0" applyNumberFormat="1" applyFont="1" applyFill="1" applyBorder="1" applyAlignment="1">
      <alignment horizontal="center" vertical="center"/>
    </xf>
    <xf numFmtId="2" fontId="11" fillId="10" borderId="13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left" vertical="center" wrapText="1"/>
    </xf>
    <xf numFmtId="2" fontId="11" fillId="10" borderId="2" xfId="0" applyNumberFormat="1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left" vertical="center" wrapText="1"/>
    </xf>
    <xf numFmtId="0" fontId="19" fillId="10" borderId="6" xfId="0" applyFont="1" applyFill="1" applyBorder="1" applyAlignment="1">
      <alignment horizontal="left" vertical="center" wrapText="1"/>
    </xf>
    <xf numFmtId="0" fontId="19" fillId="10" borderId="7" xfId="0" applyFont="1" applyFill="1" applyBorder="1" applyAlignment="1">
      <alignment horizontal="left" vertical="center" wrapText="1"/>
    </xf>
    <xf numFmtId="1" fontId="15" fillId="10" borderId="15" xfId="0" applyNumberFormat="1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2" fontId="6" fillId="11" borderId="12" xfId="0" applyNumberFormat="1" applyFont="1" applyFill="1" applyBorder="1" applyAlignment="1">
      <alignment horizontal="center" vertical="center" wrapText="1"/>
    </xf>
    <xf numFmtId="2" fontId="0" fillId="10" borderId="15" xfId="0" applyNumberFormat="1" applyFont="1" applyFill="1" applyBorder="1" applyAlignment="1">
      <alignment horizontal="center" vertical="center" wrapText="1"/>
    </xf>
    <xf numFmtId="2" fontId="0" fillId="10" borderId="13" xfId="0" applyNumberFormat="1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wrapText="1"/>
    </xf>
    <xf numFmtId="173" fontId="6" fillId="10" borderId="12" xfId="0" applyNumberFormat="1" applyFont="1" applyFill="1" applyBorder="1" applyAlignment="1">
      <alignment horizontal="center" vertical="center" wrapText="1"/>
    </xf>
    <xf numFmtId="173" fontId="6" fillId="10" borderId="13" xfId="0" applyNumberFormat="1" applyFont="1" applyFill="1" applyBorder="1" applyAlignment="1">
      <alignment horizontal="center" vertical="center" wrapText="1"/>
    </xf>
    <xf numFmtId="14" fontId="6" fillId="10" borderId="12" xfId="0" applyNumberFormat="1" applyFont="1" applyFill="1" applyBorder="1" applyAlignment="1">
      <alignment horizontal="center" vertical="center" wrapText="1"/>
    </xf>
    <xf numFmtId="14" fontId="6" fillId="10" borderId="13" xfId="0" applyNumberFormat="1" applyFont="1" applyFill="1" applyBorder="1" applyAlignment="1">
      <alignment horizontal="center" vertical="center" wrapText="1"/>
    </xf>
    <xf numFmtId="4" fontId="15" fillId="11" borderId="48" xfId="0" applyNumberFormat="1" applyFont="1" applyFill="1" applyBorder="1" applyAlignment="1">
      <alignment horizontal="center" vertical="center"/>
    </xf>
    <xf numFmtId="4" fontId="20" fillId="10" borderId="49" xfId="0" applyNumberFormat="1" applyFont="1" applyFill="1" applyBorder="1" applyAlignment="1">
      <alignment horizontal="center" vertical="center"/>
    </xf>
    <xf numFmtId="4" fontId="15" fillId="11" borderId="2" xfId="0" applyNumberFormat="1" applyFont="1" applyFill="1" applyBorder="1" applyAlignment="1">
      <alignment horizontal="center" vertical="center"/>
    </xf>
    <xf numFmtId="4" fontId="15" fillId="11" borderId="12" xfId="0" applyNumberFormat="1" applyFont="1" applyFill="1" applyBorder="1" applyAlignment="1">
      <alignment horizontal="center" vertical="center"/>
    </xf>
    <xf numFmtId="0" fontId="15" fillId="11" borderId="105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  <xf numFmtId="0" fontId="20" fillId="10" borderId="12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2" fontId="20" fillId="10" borderId="12" xfId="0" applyNumberFormat="1" applyFont="1" applyFill="1" applyBorder="1" applyAlignment="1">
      <alignment horizontal="center" vertical="center"/>
    </xf>
    <xf numFmtId="2" fontId="20" fillId="10" borderId="15" xfId="0" applyNumberFormat="1" applyFont="1" applyFill="1" applyBorder="1" applyAlignment="1">
      <alignment horizontal="center" vertical="center"/>
    </xf>
    <xf numFmtId="2" fontId="20" fillId="10" borderId="13" xfId="0" applyNumberFormat="1" applyFont="1" applyFill="1" applyBorder="1" applyAlignment="1">
      <alignment horizontal="center" vertical="center"/>
    </xf>
    <xf numFmtId="2" fontId="6" fillId="10" borderId="27" xfId="6" applyNumberFormat="1" applyFont="1" applyFill="1" applyBorder="1" applyAlignment="1">
      <alignment horizontal="center" vertical="center"/>
    </xf>
    <xf numFmtId="2" fontId="6" fillId="10" borderId="20" xfId="6" applyNumberFormat="1" applyFont="1" applyFill="1" applyBorder="1" applyAlignment="1">
      <alignment horizontal="center" vertical="center"/>
    </xf>
    <xf numFmtId="173" fontId="6" fillId="10" borderId="12" xfId="0" applyNumberFormat="1" applyFont="1" applyFill="1" applyBorder="1" applyAlignment="1">
      <alignment horizontal="center" vertical="center"/>
    </xf>
    <xf numFmtId="173" fontId="6" fillId="10" borderId="13" xfId="0" applyNumberFormat="1" applyFont="1" applyFill="1" applyBorder="1" applyAlignment="1">
      <alignment horizontal="center" vertical="center"/>
    </xf>
    <xf numFmtId="173" fontId="4" fillId="4" borderId="12" xfId="0" applyNumberFormat="1" applyFont="1" applyFill="1" applyBorder="1" applyAlignment="1">
      <alignment horizontal="center" vertical="center" wrapText="1"/>
    </xf>
    <xf numFmtId="173" fontId="4" fillId="4" borderId="15" xfId="0" applyNumberFormat="1" applyFont="1" applyFill="1" applyBorder="1" applyAlignment="1">
      <alignment horizontal="center" vertical="center" wrapText="1"/>
    </xf>
    <xf numFmtId="173" fontId="4" fillId="4" borderId="13" xfId="0" applyNumberFormat="1" applyFont="1" applyFill="1" applyBorder="1" applyAlignment="1">
      <alignment horizontal="center" vertical="center" wrapText="1"/>
    </xf>
    <xf numFmtId="173" fontId="4" fillId="11" borderId="12" xfId="0" applyNumberFormat="1" applyFont="1" applyFill="1" applyBorder="1" applyAlignment="1">
      <alignment horizontal="center" vertical="center"/>
    </xf>
    <xf numFmtId="173" fontId="4" fillId="11" borderId="13" xfId="0" applyNumberFormat="1" applyFont="1" applyFill="1" applyBorder="1" applyAlignment="1">
      <alignment horizontal="center" vertical="center"/>
    </xf>
    <xf numFmtId="173" fontId="6" fillId="4" borderId="12" xfId="0" applyNumberFormat="1" applyFont="1" applyFill="1" applyBorder="1" applyAlignment="1">
      <alignment horizontal="center" vertical="center" wrapText="1"/>
    </xf>
    <xf numFmtId="173" fontId="6" fillId="4" borderId="13" xfId="0" applyNumberFormat="1" applyFont="1" applyFill="1" applyBorder="1" applyAlignment="1">
      <alignment horizontal="center" vertical="center" wrapText="1"/>
    </xf>
    <xf numFmtId="2" fontId="15" fillId="10" borderId="104" xfId="0" applyNumberFormat="1" applyFont="1" applyFill="1" applyBorder="1" applyAlignment="1">
      <alignment horizontal="center" vertical="center" wrapText="1"/>
    </xf>
    <xf numFmtId="14" fontId="15" fillId="10" borderId="104" xfId="0" applyNumberFormat="1" applyFont="1" applyFill="1" applyBorder="1" applyAlignment="1">
      <alignment horizontal="center" vertical="center" wrapText="1"/>
    </xf>
    <xf numFmtId="14" fontId="15" fillId="10" borderId="44" xfId="0" applyNumberFormat="1" applyFont="1" applyFill="1" applyBorder="1" applyAlignment="1">
      <alignment horizontal="center" vertical="center" wrapText="1"/>
    </xf>
    <xf numFmtId="0" fontId="19" fillId="11" borderId="93" xfId="0" applyFont="1" applyFill="1" applyBorder="1" applyAlignment="1">
      <alignment horizontal="center" vertical="center"/>
    </xf>
    <xf numFmtId="0" fontId="19" fillId="11" borderId="39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4" fontId="11" fillId="17" borderId="12" xfId="0" applyNumberFormat="1" applyFont="1" applyFill="1" applyBorder="1" applyAlignment="1">
      <alignment horizontal="center" vertical="center" wrapText="1"/>
    </xf>
    <xf numFmtId="4" fontId="11" fillId="17" borderId="13" xfId="0" applyNumberFormat="1" applyFont="1" applyFill="1" applyBorder="1" applyAlignment="1">
      <alignment horizontal="center" vertical="center" wrapText="1"/>
    </xf>
    <xf numFmtId="4" fontId="11" fillId="10" borderId="46" xfId="0" applyNumberFormat="1" applyFont="1" applyFill="1" applyBorder="1" applyAlignment="1">
      <alignment horizontal="center" vertical="center" wrapText="1"/>
    </xf>
    <xf numFmtId="166" fontId="15" fillId="11" borderId="93" xfId="0" applyNumberFormat="1" applyFont="1" applyFill="1" applyBorder="1" applyAlignment="1">
      <alignment horizontal="center" vertical="center" wrapText="1"/>
    </xf>
    <xf numFmtId="166" fontId="15" fillId="11" borderId="89" xfId="0" applyNumberFormat="1" applyFont="1" applyFill="1" applyBorder="1" applyAlignment="1">
      <alignment horizontal="center" vertical="center" wrapText="1"/>
    </xf>
    <xf numFmtId="166" fontId="15" fillId="11" borderId="44" xfId="0" applyNumberFormat="1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center" vertical="center"/>
    </xf>
    <xf numFmtId="0" fontId="20" fillId="10" borderId="13" xfId="0" applyFont="1" applyFill="1" applyBorder="1" applyAlignment="1">
      <alignment horizontal="center" vertical="center"/>
    </xf>
    <xf numFmtId="166" fontId="15" fillId="11" borderId="80" xfId="0" applyNumberFormat="1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/>
    </xf>
    <xf numFmtId="166" fontId="15" fillId="10" borderId="104" xfId="0" applyNumberFormat="1" applyFont="1" applyFill="1" applyBorder="1" applyAlignment="1">
      <alignment horizontal="center" vertical="center" wrapText="1"/>
    </xf>
    <xf numFmtId="0" fontId="15" fillId="10" borderId="80" xfId="0" applyFont="1" applyFill="1" applyBorder="1" applyAlignment="1">
      <alignment horizontal="left" vertical="center" wrapText="1"/>
    </xf>
    <xf numFmtId="0" fontId="15" fillId="10" borderId="44" xfId="0" applyFont="1" applyFill="1" applyBorder="1" applyAlignment="1">
      <alignment horizontal="left" vertical="center" wrapText="1"/>
    </xf>
    <xf numFmtId="166" fontId="27" fillId="10" borderId="39" xfId="0" applyNumberFormat="1" applyFont="1" applyFill="1" applyBorder="1" applyAlignment="1">
      <alignment horizontal="center" vertical="center" wrapText="1"/>
    </xf>
    <xf numFmtId="166" fontId="27" fillId="10" borderId="15" xfId="0" applyNumberFormat="1" applyFont="1" applyFill="1" applyBorder="1" applyAlignment="1">
      <alignment horizontal="center" vertical="center" wrapText="1"/>
    </xf>
    <xf numFmtId="171" fontId="35" fillId="10" borderId="48" xfId="0" applyNumberFormat="1" applyFont="1" applyFill="1" applyBorder="1" applyAlignment="1">
      <alignment horizontal="center" vertical="center" wrapText="1"/>
    </xf>
    <xf numFmtId="171" fontId="35" fillId="10" borderId="49" xfId="0" applyNumberFormat="1" applyFont="1" applyFill="1" applyBorder="1" applyAlignment="1">
      <alignment horizontal="center" vertical="center" wrapText="1"/>
    </xf>
    <xf numFmtId="171" fontId="35" fillId="10" borderId="46" xfId="0" applyNumberFormat="1" applyFont="1" applyFill="1" applyBorder="1" applyAlignment="1">
      <alignment horizontal="center" vertical="center" wrapText="1"/>
    </xf>
    <xf numFmtId="3" fontId="11" fillId="11" borderId="38" xfId="0" applyNumberFormat="1" applyFont="1" applyFill="1" applyBorder="1" applyAlignment="1">
      <alignment horizontal="center" vertical="center" wrapText="1"/>
    </xf>
    <xf numFmtId="3" fontId="11" fillId="11" borderId="53" xfId="0" applyNumberFormat="1" applyFont="1" applyFill="1" applyBorder="1" applyAlignment="1">
      <alignment horizontal="center" vertical="center" wrapText="1"/>
    </xf>
    <xf numFmtId="167" fontId="11" fillId="10" borderId="39" xfId="0" applyNumberFormat="1" applyFont="1" applyFill="1" applyBorder="1" applyAlignment="1">
      <alignment horizontal="center" vertical="center" wrapText="1"/>
    </xf>
    <xf numFmtId="167" fontId="11" fillId="10" borderId="44" xfId="0" applyNumberFormat="1" applyFont="1" applyFill="1" applyBorder="1" applyAlignment="1">
      <alignment horizontal="center" vertical="center" wrapText="1"/>
    </xf>
    <xf numFmtId="0" fontId="11" fillId="11" borderId="73" xfId="0" applyFont="1" applyFill="1" applyBorder="1" applyAlignment="1">
      <alignment horizontal="center" vertical="center"/>
    </xf>
    <xf numFmtId="0" fontId="11" fillId="11" borderId="15" xfId="0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center" vertical="center"/>
    </xf>
    <xf numFmtId="166" fontId="15" fillId="10" borderId="39" xfId="0" applyNumberFormat="1" applyFont="1" applyFill="1" applyBorder="1" applyAlignment="1">
      <alignment horizontal="left" vertical="center" wrapText="1"/>
    </xf>
    <xf numFmtId="167" fontId="15" fillId="10" borderId="39" xfId="0" applyNumberFormat="1" applyFont="1" applyFill="1" applyBorder="1" applyAlignment="1">
      <alignment horizontal="center" vertical="center" wrapText="1"/>
    </xf>
    <xf numFmtId="167" fontId="15" fillId="10" borderId="44" xfId="0" applyNumberFormat="1" applyFont="1" applyFill="1" applyBorder="1" applyAlignment="1">
      <alignment horizontal="center" vertical="center" wrapText="1"/>
    </xf>
    <xf numFmtId="164" fontId="15" fillId="10" borderId="2" xfId="2" applyNumberFormat="1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3" fontId="15" fillId="11" borderId="15" xfId="0" applyNumberFormat="1" applyFont="1" applyFill="1" applyBorder="1" applyAlignment="1">
      <alignment horizontal="center" vertical="center" wrapText="1"/>
    </xf>
    <xf numFmtId="166" fontId="18" fillId="10" borderId="3" xfId="0" applyNumberFormat="1" applyFont="1" applyFill="1" applyBorder="1" applyAlignment="1">
      <alignment horizontal="left" vertical="center" wrapText="1"/>
    </xf>
    <xf numFmtId="166" fontId="18" fillId="10" borderId="6" xfId="0" applyNumberFormat="1" applyFont="1" applyFill="1" applyBorder="1" applyAlignment="1">
      <alignment horizontal="left" vertical="center" wrapText="1"/>
    </xf>
    <xf numFmtId="166" fontId="18" fillId="10" borderId="7" xfId="0" applyNumberFormat="1" applyFont="1" applyFill="1" applyBorder="1" applyAlignment="1">
      <alignment horizontal="left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0" fontId="15" fillId="10" borderId="39" xfId="0" applyFont="1" applyFill="1" applyBorder="1" applyAlignment="1">
      <alignment horizontal="left" vertical="center" wrapText="1"/>
    </xf>
    <xf numFmtId="0" fontId="20" fillId="10" borderId="44" xfId="0" applyFont="1" applyFill="1" applyBorder="1" applyAlignment="1">
      <alignment horizontal="left" vertical="center" wrapText="1"/>
    </xf>
    <xf numFmtId="167" fontId="19" fillId="10" borderId="86" xfId="0" applyNumberFormat="1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left" vertical="center" wrapText="1"/>
    </xf>
    <xf numFmtId="0" fontId="15" fillId="10" borderId="10" xfId="0" applyFont="1" applyFill="1" applyBorder="1" applyAlignment="1">
      <alignment horizontal="left" vertical="center" wrapText="1"/>
    </xf>
    <xf numFmtId="3" fontId="11" fillId="11" borderId="2" xfId="0" applyNumberFormat="1" applyFont="1" applyFill="1" applyBorder="1" applyAlignment="1">
      <alignment horizontal="center" vertical="center" wrapText="1"/>
    </xf>
    <xf numFmtId="3" fontId="15" fillId="11" borderId="2" xfId="0" applyNumberFormat="1" applyFont="1" applyFill="1" applyBorder="1" applyAlignment="1">
      <alignment horizontal="center" vertical="center" wrapText="1"/>
    </xf>
    <xf numFmtId="0" fontId="19" fillId="10" borderId="21" xfId="6" applyFont="1" applyFill="1" applyBorder="1" applyAlignment="1">
      <alignment horizontal="left" vertical="center" wrapText="1"/>
    </xf>
    <xf numFmtId="0" fontId="19" fillId="10" borderId="22" xfId="6" applyFont="1" applyFill="1" applyBorder="1" applyAlignment="1">
      <alignment horizontal="left" vertical="center" wrapText="1"/>
    </xf>
    <xf numFmtId="164" fontId="15" fillId="14" borderId="12" xfId="0" applyNumberFormat="1" applyFont="1" applyFill="1" applyBorder="1" applyAlignment="1">
      <alignment horizontal="center" vertical="center" wrapText="1"/>
    </xf>
    <xf numFmtId="164" fontId="15" fillId="14" borderId="13" xfId="0" applyNumberFormat="1" applyFont="1" applyFill="1" applyBorder="1" applyAlignment="1">
      <alignment horizontal="center" vertical="center" wrapText="1"/>
    </xf>
    <xf numFmtId="0" fontId="15" fillId="10" borderId="60" xfId="0" applyFont="1" applyFill="1" applyBorder="1" applyAlignment="1">
      <alignment horizontal="center" vertical="center" wrapText="1"/>
    </xf>
    <xf numFmtId="0" fontId="15" fillId="10" borderId="61" xfId="0" applyFont="1" applyFill="1" applyBorder="1" applyAlignment="1">
      <alignment horizontal="center" vertical="center" wrapText="1"/>
    </xf>
    <xf numFmtId="3" fontId="15" fillId="10" borderId="12" xfId="0" applyNumberFormat="1" applyFont="1" applyFill="1" applyBorder="1" applyAlignment="1">
      <alignment horizontal="center" vertical="center" wrapText="1"/>
    </xf>
    <xf numFmtId="3" fontId="15" fillId="10" borderId="13" xfId="0" applyNumberFormat="1" applyFont="1" applyFill="1" applyBorder="1" applyAlignment="1">
      <alignment horizontal="center" vertical="center" wrapText="1"/>
    </xf>
    <xf numFmtId="0" fontId="15" fillId="14" borderId="12" xfId="9" applyFont="1" applyFill="1" applyBorder="1" applyAlignment="1">
      <alignment horizontal="center" vertical="center" wrapText="1"/>
    </xf>
    <xf numFmtId="0" fontId="15" fillId="14" borderId="15" xfId="9" applyFont="1" applyFill="1" applyBorder="1" applyAlignment="1">
      <alignment horizontal="center" vertical="center" wrapText="1"/>
    </xf>
    <xf numFmtId="0" fontId="15" fillId="14" borderId="13" xfId="9" applyFont="1" applyFill="1" applyBorder="1" applyAlignment="1">
      <alignment horizontal="center" vertical="center" wrapText="1"/>
    </xf>
    <xf numFmtId="0" fontId="15" fillId="10" borderId="80" xfId="0" applyFont="1" applyFill="1" applyBorder="1" applyAlignment="1">
      <alignment horizontal="center" vertical="center"/>
    </xf>
    <xf numFmtId="166" fontId="28" fillId="10" borderId="12" xfId="0" applyNumberFormat="1" applyFont="1" applyFill="1" applyBorder="1" applyAlignment="1">
      <alignment horizontal="center" vertical="center" wrapText="1"/>
    </xf>
    <xf numFmtId="166" fontId="28" fillId="10" borderId="13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/>
    </xf>
    <xf numFmtId="166" fontId="15" fillId="11" borderId="104" xfId="0" applyNumberFormat="1" applyFont="1" applyFill="1" applyBorder="1" applyAlignment="1">
      <alignment horizontal="center" vertical="center" wrapText="1"/>
    </xf>
    <xf numFmtId="168" fontId="15" fillId="10" borderId="12" xfId="0" applyNumberFormat="1" applyFont="1" applyFill="1" applyBorder="1" applyAlignment="1">
      <alignment horizontal="center" vertical="center" wrapText="1"/>
    </xf>
    <xf numFmtId="168" fontId="15" fillId="10" borderId="13" xfId="0" applyNumberFormat="1" applyFont="1" applyFill="1" applyBorder="1" applyAlignment="1">
      <alignment horizontal="center" vertical="center" wrapText="1"/>
    </xf>
    <xf numFmtId="165" fontId="15" fillId="10" borderId="12" xfId="0" applyNumberFormat="1" applyFont="1" applyFill="1" applyBorder="1" applyAlignment="1">
      <alignment horizontal="center" vertical="center"/>
    </xf>
    <xf numFmtId="165" fontId="15" fillId="10" borderId="13" xfId="0" applyNumberFormat="1" applyFont="1" applyFill="1" applyBorder="1" applyAlignment="1">
      <alignment horizontal="center" vertical="center"/>
    </xf>
    <xf numFmtId="165" fontId="15" fillId="10" borderId="104" xfId="0" applyNumberFormat="1" applyFont="1" applyFill="1" applyBorder="1" applyAlignment="1">
      <alignment horizontal="center" vertical="center" wrapText="1"/>
    </xf>
    <xf numFmtId="166" fontId="15" fillId="10" borderId="107" xfId="0" applyNumberFormat="1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13" xfId="0" applyFont="1" applyFill="1" applyBorder="1" applyAlignment="1">
      <alignment vertical="center" wrapText="1"/>
    </xf>
    <xf numFmtId="0" fontId="0" fillId="10" borderId="15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center" vertical="center" wrapText="1"/>
    </xf>
    <xf numFmtId="167" fontId="6" fillId="10" borderId="12" xfId="0" applyNumberFormat="1" applyFont="1" applyFill="1" applyBorder="1" applyAlignment="1">
      <alignment horizontal="center" vertical="center"/>
    </xf>
    <xf numFmtId="167" fontId="6" fillId="10" borderId="15" xfId="0" applyNumberFormat="1" applyFont="1" applyFill="1" applyBorder="1" applyAlignment="1">
      <alignment horizontal="center" vertical="center"/>
    </xf>
    <xf numFmtId="167" fontId="6" fillId="10" borderId="13" xfId="0" applyNumberFormat="1" applyFont="1" applyFill="1" applyBorder="1" applyAlignment="1">
      <alignment horizontal="center" vertical="center"/>
    </xf>
    <xf numFmtId="166" fontId="15" fillId="10" borderId="107" xfId="0" applyNumberFormat="1" applyFont="1" applyFill="1" applyBorder="1" applyAlignment="1">
      <alignment horizontal="left" vertical="center" wrapText="1"/>
    </xf>
    <xf numFmtId="166" fontId="15" fillId="10" borderId="104" xfId="0" applyNumberFormat="1" applyFont="1" applyFill="1" applyBorder="1" applyAlignment="1">
      <alignment horizontal="left" vertical="center" wrapText="1"/>
    </xf>
    <xf numFmtId="3" fontId="15" fillId="11" borderId="107" xfId="0" applyNumberFormat="1" applyFont="1" applyFill="1" applyBorder="1" applyAlignment="1">
      <alignment horizontal="center" vertical="center" wrapText="1"/>
    </xf>
    <xf numFmtId="3" fontId="15" fillId="11" borderId="104" xfId="0" applyNumberFormat="1" applyFont="1" applyFill="1" applyBorder="1" applyAlignment="1">
      <alignment horizontal="center" vertical="center" wrapText="1"/>
    </xf>
    <xf numFmtId="166" fontId="15" fillId="11" borderId="107" xfId="0" applyNumberFormat="1" applyFont="1" applyFill="1" applyBorder="1" applyAlignment="1">
      <alignment horizontal="center" vertical="center" wrapText="1"/>
    </xf>
    <xf numFmtId="3" fontId="4" fillId="11" borderId="80" xfId="0" applyNumberFormat="1" applyFont="1" applyFill="1" applyBorder="1" applyAlignment="1">
      <alignment horizontal="center" vertical="center" wrapText="1"/>
    </xf>
    <xf numFmtId="0" fontId="15" fillId="11" borderId="104" xfId="0" applyFont="1" applyFill="1" applyBorder="1" applyAlignment="1">
      <alignment horizontal="center" vertical="center"/>
    </xf>
    <xf numFmtId="0" fontId="15" fillId="11" borderId="90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center" vertical="center"/>
    </xf>
    <xf numFmtId="164" fontId="19" fillId="10" borderId="104" xfId="0" applyNumberFormat="1" applyFont="1" applyFill="1" applyBorder="1" applyAlignment="1">
      <alignment horizontal="center" vertical="center" wrapText="1"/>
    </xf>
    <xf numFmtId="164" fontId="19" fillId="10" borderId="90" xfId="0" applyNumberFormat="1" applyFont="1" applyFill="1" applyBorder="1" applyAlignment="1">
      <alignment horizontal="center" vertical="center" wrapText="1"/>
    </xf>
    <xf numFmtId="0" fontId="19" fillId="10" borderId="118" xfId="0" applyFont="1" applyFill="1" applyBorder="1" applyAlignment="1">
      <alignment horizontal="left" vertical="center" wrapText="1"/>
    </xf>
    <xf numFmtId="0" fontId="19" fillId="10" borderId="93" xfId="0" applyFont="1" applyFill="1" applyBorder="1" applyAlignment="1">
      <alignment horizontal="left" vertical="center" wrapText="1"/>
    </xf>
    <xf numFmtId="0" fontId="19" fillId="10" borderId="119" xfId="0" applyFont="1" applyFill="1" applyBorder="1" applyAlignment="1">
      <alignment horizontal="left" vertical="center" wrapText="1"/>
    </xf>
    <xf numFmtId="167" fontId="11" fillId="10" borderId="104" xfId="0" applyNumberFormat="1" applyFont="1" applyFill="1" applyBorder="1" applyAlignment="1">
      <alignment horizontal="center" vertical="center" wrapText="1"/>
    </xf>
    <xf numFmtId="1" fontId="19" fillId="10" borderId="39" xfId="0" applyNumberFormat="1" applyFont="1" applyFill="1" applyBorder="1" applyAlignment="1">
      <alignment horizontal="center" vertical="center"/>
    </xf>
    <xf numFmtId="1" fontId="19" fillId="10" borderId="15" xfId="0" applyNumberFormat="1" applyFont="1" applyFill="1" applyBorder="1" applyAlignment="1">
      <alignment horizontal="center" vertical="center"/>
    </xf>
    <xf numFmtId="164" fontId="11" fillId="10" borderId="104" xfId="0" applyNumberFormat="1" applyFont="1" applyFill="1" applyBorder="1" applyAlignment="1">
      <alignment horizontal="center" vertical="center" wrapText="1"/>
    </xf>
    <xf numFmtId="164" fontId="19" fillId="10" borderId="93" xfId="0" applyNumberFormat="1" applyFont="1" applyFill="1" applyBorder="1" applyAlignment="1">
      <alignment horizontal="center" vertical="center" wrapText="1"/>
    </xf>
    <xf numFmtId="1" fontId="19" fillId="10" borderId="12" xfId="0" applyNumberFormat="1" applyFont="1" applyFill="1" applyBorder="1" applyAlignment="1">
      <alignment horizontal="center" vertical="center" wrapText="1"/>
    </xf>
    <xf numFmtId="1" fontId="19" fillId="10" borderId="13" xfId="0" applyNumberFormat="1" applyFont="1" applyFill="1" applyBorder="1" applyAlignment="1">
      <alignment horizontal="center" vertical="center" wrapText="1"/>
    </xf>
    <xf numFmtId="164" fontId="19" fillId="10" borderId="12" xfId="0" applyNumberFormat="1" applyFont="1" applyFill="1" applyBorder="1" applyAlignment="1">
      <alignment horizontal="center" vertical="center" wrapText="1"/>
    </xf>
    <xf numFmtId="164" fontId="19" fillId="10" borderId="13" xfId="0" applyNumberFormat="1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left" vertical="top" wrapText="1"/>
    </xf>
    <xf numFmtId="167" fontId="6" fillId="10" borderId="12" xfId="0" applyNumberFormat="1" applyFont="1" applyFill="1" applyBorder="1" applyAlignment="1">
      <alignment horizontal="center" vertical="center" wrapText="1"/>
    </xf>
    <xf numFmtId="167" fontId="6" fillId="10" borderId="15" xfId="0" applyNumberFormat="1" applyFont="1" applyFill="1" applyBorder="1" applyAlignment="1">
      <alignment horizontal="center" vertical="center" wrapText="1"/>
    </xf>
    <xf numFmtId="167" fontId="6" fillId="10" borderId="13" xfId="0" applyNumberFormat="1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vertical="center" wrapText="1"/>
    </xf>
    <xf numFmtId="0" fontId="11" fillId="10" borderId="44" xfId="0" applyFont="1" applyFill="1" applyBorder="1" applyAlignment="1">
      <alignment vertical="center" wrapText="1"/>
    </xf>
    <xf numFmtId="166" fontId="15" fillId="10" borderId="94" xfId="0" applyNumberFormat="1" applyFont="1" applyFill="1" applyBorder="1" applyAlignment="1">
      <alignment horizontal="left" vertical="center" wrapText="1"/>
    </xf>
    <xf numFmtId="166" fontId="15" fillId="10" borderId="93" xfId="0" applyNumberFormat="1" applyFont="1" applyFill="1" applyBorder="1" applyAlignment="1">
      <alignment horizontal="left" vertical="center" wrapText="1"/>
    </xf>
    <xf numFmtId="0" fontId="11" fillId="10" borderId="107" xfId="0" applyFont="1" applyFill="1" applyBorder="1" applyAlignment="1">
      <alignment horizontal="left" vertical="center" wrapText="1"/>
    </xf>
    <xf numFmtId="3" fontId="15" fillId="11" borderId="51" xfId="0" applyNumberFormat="1" applyFont="1" applyFill="1" applyBorder="1" applyAlignment="1">
      <alignment horizontal="center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104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 wrapText="1"/>
    </xf>
    <xf numFmtId="0" fontId="15" fillId="11" borderId="118" xfId="0" applyFont="1" applyFill="1" applyBorder="1" applyAlignment="1">
      <alignment horizontal="center" vertical="center"/>
    </xf>
    <xf numFmtId="0" fontId="15" fillId="11" borderId="119" xfId="0" applyFont="1" applyFill="1" applyBorder="1" applyAlignment="1">
      <alignment horizontal="center" vertical="center"/>
    </xf>
    <xf numFmtId="3" fontId="15" fillId="11" borderId="105" xfId="0" applyNumberFormat="1" applyFont="1" applyFill="1" applyBorder="1" applyAlignment="1">
      <alignment horizontal="center" vertical="center"/>
    </xf>
    <xf numFmtId="3" fontId="15" fillId="11" borderId="120" xfId="0" applyNumberFormat="1" applyFont="1" applyFill="1" applyBorder="1" applyAlignment="1">
      <alignment horizontal="center" vertical="center"/>
    </xf>
    <xf numFmtId="3" fontId="15" fillId="11" borderId="106" xfId="0" applyNumberFormat="1" applyFont="1" applyFill="1" applyBorder="1" applyAlignment="1">
      <alignment horizontal="center" vertical="center"/>
    </xf>
    <xf numFmtId="165" fontId="15" fillId="10" borderId="110" xfId="0" applyNumberFormat="1" applyFont="1" applyFill="1" applyBorder="1" applyAlignment="1">
      <alignment horizontal="center" vertical="center" wrapText="1"/>
    </xf>
    <xf numFmtId="165" fontId="15" fillId="10" borderId="91" xfId="0" applyNumberFormat="1" applyFont="1" applyFill="1" applyBorder="1" applyAlignment="1">
      <alignment horizontal="center" vertical="center" wrapText="1"/>
    </xf>
    <xf numFmtId="165" fontId="15" fillId="10" borderId="88" xfId="0" applyNumberFormat="1" applyFont="1" applyFill="1" applyBorder="1" applyAlignment="1">
      <alignment horizontal="center" vertical="center" wrapText="1"/>
    </xf>
    <xf numFmtId="3" fontId="15" fillId="11" borderId="56" xfId="0" applyNumberFormat="1" applyFont="1" applyFill="1" applyBorder="1" applyAlignment="1">
      <alignment horizontal="center" vertical="center"/>
    </xf>
    <xf numFmtId="3" fontId="15" fillId="11" borderId="52" xfId="0" applyNumberFormat="1" applyFont="1" applyFill="1" applyBorder="1" applyAlignment="1">
      <alignment horizontal="center" vertical="center"/>
    </xf>
    <xf numFmtId="166" fontId="15" fillId="10" borderId="86" xfId="0" applyNumberFormat="1" applyFont="1" applyFill="1" applyBorder="1" applyAlignment="1">
      <alignment horizontal="left" vertical="center" wrapText="1"/>
    </xf>
    <xf numFmtId="49" fontId="15" fillId="11" borderId="104" xfId="0" applyNumberFormat="1" applyFont="1" applyFill="1" applyBorder="1" applyAlignment="1">
      <alignment horizontal="center" vertical="center" wrapText="1"/>
    </xf>
    <xf numFmtId="49" fontId="15" fillId="11" borderId="15" xfId="0" applyNumberFormat="1" applyFont="1" applyFill="1" applyBorder="1" applyAlignment="1">
      <alignment horizontal="center" vertical="center" wrapText="1"/>
    </xf>
    <xf numFmtId="49" fontId="15" fillId="11" borderId="44" xfId="0" applyNumberFormat="1" applyFont="1" applyFill="1" applyBorder="1" applyAlignment="1">
      <alignment horizontal="center" vertical="center" wrapText="1"/>
    </xf>
    <xf numFmtId="3" fontId="15" fillId="11" borderId="38" xfId="0" applyNumberFormat="1" applyFont="1" applyFill="1" applyBorder="1" applyAlignment="1">
      <alignment horizontal="center" vertical="center"/>
    </xf>
    <xf numFmtId="3" fontId="15" fillId="11" borderId="37" xfId="0" applyNumberFormat="1" applyFont="1" applyFill="1" applyBorder="1" applyAlignment="1">
      <alignment horizontal="center" vertical="center"/>
    </xf>
    <xf numFmtId="3" fontId="15" fillId="11" borderId="43" xfId="0" applyNumberFormat="1" applyFont="1" applyFill="1" applyBorder="1" applyAlignment="1">
      <alignment horizontal="center" vertical="center"/>
    </xf>
    <xf numFmtId="0" fontId="15" fillId="10" borderId="79" xfId="0" applyFont="1" applyFill="1" applyBorder="1" applyAlignment="1">
      <alignment horizontal="center" vertical="center"/>
    </xf>
    <xf numFmtId="2" fontId="15" fillId="10" borderId="12" xfId="0" applyNumberFormat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0" fontId="15" fillId="10" borderId="12" xfId="9" applyFont="1" applyFill="1" applyBorder="1" applyAlignment="1">
      <alignment horizontal="center" vertical="center" wrapText="1"/>
    </xf>
    <xf numFmtId="0" fontId="15" fillId="10" borderId="15" xfId="9" applyFont="1" applyFill="1" applyBorder="1" applyAlignment="1">
      <alignment horizontal="center" vertical="center" wrapText="1"/>
    </xf>
    <xf numFmtId="0" fontId="15" fillId="10" borderId="13" xfId="9" applyFont="1" applyFill="1" applyBorder="1" applyAlignment="1">
      <alignment horizontal="center" vertical="center" wrapText="1"/>
    </xf>
    <xf numFmtId="0" fontId="15" fillId="10" borderId="79" xfId="0" applyFont="1" applyFill="1" applyBorder="1" applyAlignment="1">
      <alignment horizontal="left" vertical="center" wrapText="1"/>
    </xf>
    <xf numFmtId="49" fontId="28" fillId="10" borderId="2" xfId="0" applyNumberFormat="1" applyFont="1" applyFill="1" applyBorder="1" applyAlignment="1">
      <alignment horizontal="center" vertical="center" wrapText="1"/>
    </xf>
    <xf numFmtId="0" fontId="15" fillId="10" borderId="90" xfId="0" applyFont="1" applyFill="1" applyBorder="1" applyAlignment="1">
      <alignment horizontal="left" vertical="center" wrapText="1"/>
    </xf>
    <xf numFmtId="3" fontId="15" fillId="10" borderId="76" xfId="0" applyNumberFormat="1" applyFont="1" applyFill="1" applyBorder="1" applyAlignment="1">
      <alignment horizontal="center" vertical="center"/>
    </xf>
    <xf numFmtId="3" fontId="15" fillId="10" borderId="43" xfId="0" applyNumberFormat="1" applyFont="1" applyFill="1" applyBorder="1" applyAlignment="1">
      <alignment horizontal="center" vertical="center"/>
    </xf>
    <xf numFmtId="164" fontId="15" fillId="14" borderId="40" xfId="0" applyNumberFormat="1" applyFont="1" applyFill="1" applyBorder="1" applyAlignment="1">
      <alignment horizontal="center" vertical="center" wrapText="1"/>
    </xf>
    <xf numFmtId="164" fontId="15" fillId="14" borderId="45" xfId="0" applyNumberFormat="1" applyFont="1" applyFill="1" applyBorder="1" applyAlignment="1">
      <alignment horizontal="center" vertical="center" wrapText="1"/>
    </xf>
    <xf numFmtId="164" fontId="15" fillId="14" borderId="15" xfId="0" applyNumberFormat="1" applyFont="1" applyFill="1" applyBorder="1" applyAlignment="1">
      <alignment horizontal="center" vertical="center" wrapText="1"/>
    </xf>
    <xf numFmtId="3" fontId="15" fillId="10" borderId="89" xfId="0" applyNumberFormat="1" applyFont="1" applyFill="1" applyBorder="1" applyAlignment="1">
      <alignment horizontal="center" vertical="center"/>
    </xf>
    <xf numFmtId="166" fontId="15" fillId="10" borderId="45" xfId="0" applyNumberFormat="1" applyFont="1" applyFill="1" applyBorder="1" applyAlignment="1">
      <alignment horizontal="center" vertical="center" wrapText="1"/>
    </xf>
    <xf numFmtId="166" fontId="15" fillId="10" borderId="40" xfId="0" applyNumberFormat="1" applyFont="1" applyFill="1" applyBorder="1" applyAlignment="1">
      <alignment horizontal="left" vertical="center" wrapText="1"/>
    </xf>
    <xf numFmtId="166" fontId="15" fillId="10" borderId="2" xfId="0" applyNumberFormat="1" applyFont="1" applyFill="1" applyBorder="1" applyAlignment="1">
      <alignment horizontal="left" vertical="center" wrapText="1"/>
    </xf>
    <xf numFmtId="166" fontId="15" fillId="10" borderId="45" xfId="0" applyNumberFormat="1" applyFont="1" applyFill="1" applyBorder="1" applyAlignment="1">
      <alignment horizontal="left" vertical="center" wrapText="1"/>
    </xf>
    <xf numFmtId="166" fontId="15" fillId="10" borderId="73" xfId="0" applyNumberFormat="1" applyFont="1" applyFill="1" applyBorder="1" applyAlignment="1">
      <alignment horizontal="center" vertical="center" wrapText="1"/>
    </xf>
    <xf numFmtId="166" fontId="15" fillId="10" borderId="79" xfId="0" applyNumberFormat="1" applyFont="1" applyFill="1" applyBorder="1" applyAlignment="1">
      <alignment horizontal="center" vertical="center" wrapText="1"/>
    </xf>
    <xf numFmtId="167" fontId="15" fillId="10" borderId="73" xfId="0" applyNumberFormat="1" applyFont="1" applyFill="1" applyBorder="1" applyAlignment="1">
      <alignment horizontal="center" vertical="center" wrapText="1"/>
    </xf>
    <xf numFmtId="167" fontId="15" fillId="10" borderId="79" xfId="0" applyNumberFormat="1" applyFont="1" applyFill="1" applyBorder="1" applyAlignment="1">
      <alignment horizontal="center" vertical="center" wrapText="1"/>
    </xf>
    <xf numFmtId="3" fontId="15" fillId="10" borderId="76" xfId="0" applyNumberFormat="1" applyFont="1" applyFill="1" applyBorder="1" applyAlignment="1">
      <alignment horizontal="center" vertical="center" wrapText="1"/>
    </xf>
    <xf numFmtId="3" fontId="15" fillId="10" borderId="37" xfId="0" applyNumberFormat="1" applyFont="1" applyFill="1" applyBorder="1" applyAlignment="1">
      <alignment horizontal="center" vertical="center" wrapText="1"/>
    </xf>
    <xf numFmtId="3" fontId="15" fillId="10" borderId="43" xfId="0" applyNumberFormat="1" applyFont="1" applyFill="1" applyBorder="1" applyAlignment="1">
      <alignment horizontal="center" vertical="center" wrapText="1"/>
    </xf>
    <xf numFmtId="0" fontId="15" fillId="10" borderId="89" xfId="0" applyFont="1" applyFill="1" applyBorder="1" applyAlignment="1">
      <alignment horizontal="left" vertical="center" wrapText="1"/>
    </xf>
    <xf numFmtId="4" fontId="15" fillId="11" borderId="39" xfId="0" applyNumberFormat="1" applyFont="1" applyFill="1" applyBorder="1" applyAlignment="1">
      <alignment horizontal="center" vertical="center" wrapText="1"/>
    </xf>
    <xf numFmtId="4" fontId="15" fillId="11" borderId="44" xfId="0" applyNumberFormat="1" applyFont="1" applyFill="1" applyBorder="1" applyAlignment="1">
      <alignment horizontal="center" vertical="center" wrapText="1"/>
    </xf>
    <xf numFmtId="2" fontId="15" fillId="10" borderId="39" xfId="0" applyNumberFormat="1" applyFont="1" applyFill="1" applyBorder="1" applyAlignment="1">
      <alignment horizontal="center" vertical="center" wrapText="1"/>
    </xf>
    <xf numFmtId="0" fontId="15" fillId="10" borderId="39" xfId="2" applyFont="1" applyFill="1" applyBorder="1" applyAlignment="1">
      <alignment horizontal="center" vertical="center" wrapText="1"/>
    </xf>
    <xf numFmtId="2" fontId="15" fillId="11" borderId="39" xfId="0" applyNumberFormat="1" applyFont="1" applyFill="1" applyBorder="1" applyAlignment="1">
      <alignment horizontal="center" vertical="center" wrapText="1"/>
    </xf>
    <xf numFmtId="2" fontId="15" fillId="11" borderId="44" xfId="0" applyNumberFormat="1" applyFont="1" applyFill="1" applyBorder="1" applyAlignment="1">
      <alignment horizontal="center" vertical="center" wrapText="1"/>
    </xf>
    <xf numFmtId="0" fontId="15" fillId="10" borderId="65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66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4" fontId="15" fillId="11" borderId="15" xfId="0" applyNumberFormat="1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 wrapText="1"/>
    </xf>
    <xf numFmtId="0" fontId="15" fillId="10" borderId="62" xfId="0" applyFont="1" applyFill="1" applyBorder="1" applyAlignment="1">
      <alignment horizontal="center" vertical="center" wrapText="1"/>
    </xf>
    <xf numFmtId="0" fontId="15" fillId="10" borderId="125" xfId="0" applyFont="1" applyFill="1" applyBorder="1" applyAlignment="1">
      <alignment horizontal="center" vertical="center" wrapText="1"/>
    </xf>
    <xf numFmtId="0" fontId="15" fillId="10" borderId="63" xfId="0" applyFont="1" applyFill="1" applyBorder="1" applyAlignment="1">
      <alignment horizontal="center" vertical="center" wrapText="1"/>
    </xf>
    <xf numFmtId="0" fontId="15" fillId="10" borderId="126" xfId="0" applyFont="1" applyFill="1" applyBorder="1" applyAlignment="1">
      <alignment horizontal="center" vertical="center" wrapText="1"/>
    </xf>
    <xf numFmtId="2" fontId="15" fillId="11" borderId="15" xfId="0" applyNumberFormat="1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22" fillId="9" borderId="6" xfId="0" applyFont="1" applyFill="1" applyBorder="1" applyAlignment="1">
      <alignment horizontal="left" vertical="center" wrapText="1"/>
    </xf>
    <xf numFmtId="0" fontId="22" fillId="9" borderId="7" xfId="0" applyFont="1" applyFill="1" applyBorder="1" applyAlignment="1">
      <alignment horizontal="left" vertical="center" wrapText="1"/>
    </xf>
    <xf numFmtId="0" fontId="30" fillId="10" borderId="3" xfId="0" applyFont="1" applyFill="1" applyBorder="1" applyAlignment="1">
      <alignment horizontal="left" vertical="center" wrapText="1"/>
    </xf>
    <xf numFmtId="0" fontId="30" fillId="10" borderId="6" xfId="0" applyFont="1" applyFill="1" applyBorder="1" applyAlignment="1">
      <alignment horizontal="left" vertical="center" wrapText="1"/>
    </xf>
    <xf numFmtId="0" fontId="30" fillId="10" borderId="7" xfId="0" applyFont="1" applyFill="1" applyBorder="1" applyAlignment="1">
      <alignment horizontal="left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left" vertical="center" wrapText="1"/>
    </xf>
    <xf numFmtId="0" fontId="19" fillId="10" borderId="14" xfId="0" applyFont="1" applyFill="1" applyBorder="1" applyAlignment="1">
      <alignment horizontal="left" vertical="center" wrapText="1"/>
    </xf>
    <xf numFmtId="0" fontId="19" fillId="10" borderId="5" xfId="0" applyFont="1" applyFill="1" applyBorder="1" applyAlignment="1">
      <alignment horizontal="left" vertical="center" wrapText="1"/>
    </xf>
    <xf numFmtId="4" fontId="15" fillId="11" borderId="12" xfId="0" applyNumberFormat="1" applyFont="1" applyFill="1" applyBorder="1" applyAlignment="1">
      <alignment horizontal="center" vertical="center" wrapText="1"/>
    </xf>
    <xf numFmtId="4" fontId="15" fillId="11" borderId="13" xfId="0" applyNumberFormat="1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2" xfId="2" applyNumberFormat="1" applyFont="1" applyFill="1" applyBorder="1" applyAlignment="1">
      <alignment horizontal="center" vertical="center" wrapText="1"/>
    </xf>
    <xf numFmtId="0" fontId="19" fillId="10" borderId="15" xfId="2" applyFont="1" applyFill="1" applyBorder="1" applyAlignment="1">
      <alignment horizontal="center" vertical="center" wrapText="1"/>
    </xf>
    <xf numFmtId="0" fontId="15" fillId="11" borderId="2" xfId="0" applyNumberFormat="1" applyFont="1" applyFill="1" applyBorder="1" applyAlignment="1">
      <alignment horizontal="center" vertical="center" wrapText="1"/>
    </xf>
    <xf numFmtId="0" fontId="19" fillId="10" borderId="30" xfId="6" applyFont="1" applyFill="1" applyBorder="1" applyAlignment="1">
      <alignment horizontal="left" vertical="center" wrapText="1"/>
    </xf>
    <xf numFmtId="0" fontId="19" fillId="10" borderId="10" xfId="6" applyFont="1" applyFill="1" applyBorder="1" applyAlignment="1">
      <alignment horizontal="left" vertical="center" wrapText="1"/>
    </xf>
    <xf numFmtId="2" fontId="19" fillId="10" borderId="2" xfId="2" applyNumberFormat="1" applyFont="1" applyFill="1" applyBorder="1" applyAlignment="1">
      <alignment horizontal="center" vertical="center" wrapText="1"/>
    </xf>
    <xf numFmtId="164" fontId="19" fillId="10" borderId="13" xfId="2" applyNumberFormat="1" applyFont="1" applyFill="1" applyBorder="1" applyAlignment="1">
      <alignment horizontal="center" vertical="center" wrapText="1"/>
    </xf>
    <xf numFmtId="0" fontId="19" fillId="10" borderId="12" xfId="6" applyFont="1" applyFill="1" applyBorder="1" applyAlignment="1">
      <alignment horizontal="center" vertical="center" wrapText="1"/>
    </xf>
    <xf numFmtId="0" fontId="19" fillId="10" borderId="13" xfId="6" applyFont="1" applyFill="1" applyBorder="1" applyAlignment="1">
      <alignment horizontal="center" vertical="center" wrapText="1"/>
    </xf>
    <xf numFmtId="2" fontId="19" fillId="10" borderId="12" xfId="2" applyNumberFormat="1" applyFont="1" applyFill="1" applyBorder="1" applyAlignment="1">
      <alignment horizontal="center" vertical="center" wrapText="1"/>
    </xf>
    <xf numFmtId="2" fontId="19" fillId="10" borderId="13" xfId="2" applyNumberFormat="1" applyFont="1" applyFill="1" applyBorder="1" applyAlignment="1">
      <alignment horizontal="center" vertical="center" wrapText="1"/>
    </xf>
    <xf numFmtId="0" fontId="15" fillId="10" borderId="12" xfId="2" applyNumberFormat="1" applyFont="1" applyFill="1" applyBorder="1" applyAlignment="1">
      <alignment horizontal="center" vertical="center" wrapText="1"/>
    </xf>
    <xf numFmtId="0" fontId="15" fillId="10" borderId="15" xfId="2" applyNumberFormat="1" applyFont="1" applyFill="1" applyBorder="1" applyAlignment="1">
      <alignment horizontal="center" vertical="center" wrapText="1"/>
    </xf>
    <xf numFmtId="0" fontId="15" fillId="10" borderId="13" xfId="2" applyNumberFormat="1" applyFont="1" applyFill="1" applyBorder="1" applyAlignment="1">
      <alignment horizontal="center" vertical="center" wrapText="1"/>
    </xf>
    <xf numFmtId="0" fontId="15" fillId="10" borderId="93" xfId="0" applyFont="1" applyFill="1" applyBorder="1" applyAlignment="1">
      <alignment horizontal="left" vertical="center" wrapText="1"/>
    </xf>
    <xf numFmtId="0" fontId="15" fillId="11" borderId="80" xfId="0" applyNumberFormat="1" applyFont="1" applyFill="1" applyBorder="1" applyAlignment="1">
      <alignment horizontal="center" vertical="center" wrapText="1"/>
    </xf>
    <xf numFmtId="0" fontId="15" fillId="11" borderId="93" xfId="0" applyNumberFormat="1" applyFont="1" applyFill="1" applyBorder="1" applyAlignment="1">
      <alignment horizontal="center" vertical="center" wrapText="1"/>
    </xf>
    <xf numFmtId="0" fontId="15" fillId="11" borderId="90" xfId="0" applyNumberFormat="1" applyFont="1" applyFill="1" applyBorder="1" applyAlignment="1">
      <alignment horizontal="center" vertical="center" wrapText="1"/>
    </xf>
    <xf numFmtId="0" fontId="15" fillId="11" borderId="39" xfId="0" applyNumberFormat="1" applyFont="1" applyFill="1" applyBorder="1" applyAlignment="1">
      <alignment horizontal="center" vertical="center" wrapText="1"/>
    </xf>
    <xf numFmtId="0" fontId="15" fillId="11" borderId="15" xfId="0" applyNumberFormat="1" applyFont="1" applyFill="1" applyBorder="1" applyAlignment="1">
      <alignment horizontal="center" vertical="center" wrapText="1"/>
    </xf>
    <xf numFmtId="2" fontId="19" fillId="10" borderId="18" xfId="2" applyNumberFormat="1" applyFont="1" applyFill="1" applyBorder="1" applyAlignment="1">
      <alignment horizontal="center" vertical="center" wrapText="1"/>
    </xf>
    <xf numFmtId="2" fontId="19" fillId="10" borderId="19" xfId="2" applyNumberFormat="1" applyFont="1" applyFill="1" applyBorder="1" applyAlignment="1">
      <alignment horizontal="center" vertical="center" wrapText="1"/>
    </xf>
    <xf numFmtId="164" fontId="19" fillId="10" borderId="24" xfId="2" applyNumberFormat="1" applyFont="1" applyFill="1" applyBorder="1" applyAlignment="1">
      <alignment horizontal="center" vertical="center" wrapText="1"/>
    </xf>
    <xf numFmtId="2" fontId="19" fillId="10" borderId="24" xfId="2" applyNumberFormat="1" applyFont="1" applyFill="1" applyBorder="1" applyAlignment="1">
      <alignment horizontal="center" vertical="center" wrapText="1"/>
    </xf>
    <xf numFmtId="2" fontId="19" fillId="10" borderId="23" xfId="2" applyNumberFormat="1" applyFont="1" applyFill="1" applyBorder="1" applyAlignment="1">
      <alignment horizontal="center" vertical="center" wrapText="1"/>
    </xf>
    <xf numFmtId="2" fontId="19" fillId="10" borderId="27" xfId="2" applyNumberFormat="1" applyFont="1" applyFill="1" applyBorder="1" applyAlignment="1">
      <alignment horizontal="center" vertical="center" wrapText="1"/>
    </xf>
    <xf numFmtId="2" fontId="19" fillId="10" borderId="28" xfId="2" applyNumberFormat="1" applyFont="1" applyFill="1" applyBorder="1" applyAlignment="1">
      <alignment horizontal="center" vertical="center" wrapText="1"/>
    </xf>
    <xf numFmtId="2" fontId="4" fillId="10" borderId="97" xfId="6" applyNumberFormat="1" applyFont="1" applyFill="1" applyBorder="1" applyAlignment="1">
      <alignment horizontal="center" vertical="center"/>
    </xf>
    <xf numFmtId="2" fontId="4" fillId="10" borderId="20" xfId="6" applyNumberFormat="1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left" vertical="center" wrapText="1"/>
    </xf>
    <xf numFmtId="2" fontId="6" fillId="10" borderId="97" xfId="6" applyNumberFormat="1" applyFont="1" applyFill="1" applyBorder="1" applyAlignment="1">
      <alignment horizontal="center" vertical="center"/>
    </xf>
    <xf numFmtId="0" fontId="19" fillId="10" borderId="25" xfId="6" applyFont="1" applyFill="1" applyBorder="1" applyAlignment="1">
      <alignment horizontal="left" vertical="center" wrapText="1"/>
    </xf>
    <xf numFmtId="164" fontId="19" fillId="10" borderId="17" xfId="2" applyNumberFormat="1" applyFont="1" applyFill="1" applyBorder="1" applyAlignment="1">
      <alignment horizontal="left" vertical="center" wrapText="1"/>
    </xf>
    <xf numFmtId="164" fontId="19" fillId="10" borderId="20" xfId="2" applyNumberFormat="1" applyFont="1" applyFill="1" applyBorder="1" applyAlignment="1">
      <alignment horizontal="left" vertical="center" wrapText="1"/>
    </xf>
    <xf numFmtId="2" fontId="19" fillId="10" borderId="17" xfId="2" applyNumberFormat="1" applyFont="1" applyFill="1" applyBorder="1" applyAlignment="1">
      <alignment horizontal="left" vertical="center" wrapText="1"/>
    </xf>
    <xf numFmtId="2" fontId="19" fillId="10" borderId="20" xfId="2" applyNumberFormat="1" applyFont="1" applyFill="1" applyBorder="1" applyAlignment="1">
      <alignment horizontal="left" vertical="center" wrapText="1"/>
    </xf>
    <xf numFmtId="0" fontId="6" fillId="10" borderId="125" xfId="6" applyFont="1" applyFill="1" applyBorder="1" applyAlignment="1">
      <alignment horizontal="center" vertical="center" wrapText="1"/>
    </xf>
    <xf numFmtId="0" fontId="4" fillId="10" borderId="123" xfId="0" applyFont="1" applyFill="1" applyBorder="1" applyAlignment="1">
      <alignment horizontal="center" vertical="center" wrapText="1"/>
    </xf>
    <xf numFmtId="0" fontId="6" fillId="10" borderId="123" xfId="0" applyFont="1" applyFill="1" applyBorder="1" applyAlignment="1">
      <alignment horizontal="center" vertical="center" wrapText="1"/>
    </xf>
    <xf numFmtId="1" fontId="4" fillId="11" borderId="12" xfId="0" applyNumberFormat="1" applyFont="1" applyFill="1" applyBorder="1" applyAlignment="1">
      <alignment horizontal="center" vertical="center"/>
    </xf>
    <xf numFmtId="1" fontId="4" fillId="11" borderId="15" xfId="0" applyNumberFormat="1" applyFont="1" applyFill="1" applyBorder="1" applyAlignment="1">
      <alignment horizontal="center" vertical="center"/>
    </xf>
    <xf numFmtId="1" fontId="4" fillId="11" borderId="13" xfId="0" applyNumberFormat="1" applyFont="1" applyFill="1" applyBorder="1" applyAlignment="1">
      <alignment horizontal="center" vertical="center"/>
    </xf>
    <xf numFmtId="164" fontId="15" fillId="10" borderId="12" xfId="0" applyNumberFormat="1" applyFont="1" applyFill="1" applyBorder="1" applyAlignment="1">
      <alignment horizontal="left" vertical="center" wrapText="1"/>
    </xf>
    <xf numFmtId="164" fontId="15" fillId="10" borderId="15" xfId="0" applyNumberFormat="1" applyFont="1" applyFill="1" applyBorder="1" applyAlignment="1">
      <alignment horizontal="left" vertical="center" wrapText="1"/>
    </xf>
    <xf numFmtId="164" fontId="15" fillId="10" borderId="13" xfId="0" applyNumberFormat="1" applyFont="1" applyFill="1" applyBorder="1" applyAlignment="1">
      <alignment horizontal="left" vertical="center" wrapText="1"/>
    </xf>
    <xf numFmtId="1" fontId="15" fillId="10" borderId="2" xfId="0" applyNumberFormat="1" applyFont="1" applyFill="1" applyBorder="1" applyAlignment="1">
      <alignment horizontal="center" vertical="center" wrapText="1"/>
    </xf>
    <xf numFmtId="0" fontId="11" fillId="10" borderId="107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164" fontId="20" fillId="10" borderId="2" xfId="0" applyNumberFormat="1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/>
    </xf>
    <xf numFmtId="0" fontId="4" fillId="11" borderId="45" xfId="0" applyFont="1" applyFill="1" applyBorder="1" applyAlignment="1">
      <alignment horizontal="center" vertical="center"/>
    </xf>
    <xf numFmtId="167" fontId="19" fillId="10" borderId="2" xfId="2" applyNumberFormat="1" applyFont="1" applyFill="1" applyBorder="1" applyAlignment="1">
      <alignment horizontal="center" vertical="center" wrapText="1"/>
    </xf>
    <xf numFmtId="167" fontId="20" fillId="10" borderId="2" xfId="0" applyNumberFormat="1" applyFont="1" applyFill="1" applyBorder="1" applyAlignment="1">
      <alignment horizontal="center" vertical="center" wrapText="1"/>
    </xf>
    <xf numFmtId="0" fontId="19" fillId="10" borderId="107" xfId="0" applyFont="1" applyFill="1" applyBorder="1" applyAlignment="1">
      <alignment horizontal="center" vertical="center" wrapText="1"/>
    </xf>
    <xf numFmtId="4" fontId="19" fillId="10" borderId="107" xfId="0" applyNumberFormat="1" applyFont="1" applyFill="1" applyBorder="1" applyAlignment="1">
      <alignment horizontal="center" vertical="center" wrapText="1"/>
    </xf>
    <xf numFmtId="164" fontId="19" fillId="10" borderId="2" xfId="2" applyNumberFormat="1" applyFont="1" applyFill="1" applyBorder="1" applyAlignment="1">
      <alignment horizontal="left" vertical="center" wrapText="1"/>
    </xf>
    <xf numFmtId="0" fontId="20" fillId="10" borderId="2" xfId="0" applyFont="1" applyFill="1" applyBorder="1" applyAlignment="1">
      <alignment horizontal="left" vertical="center" wrapText="1"/>
    </xf>
    <xf numFmtId="4" fontId="11" fillId="11" borderId="75" xfId="0" applyNumberFormat="1" applyFont="1" applyFill="1" applyBorder="1" applyAlignment="1">
      <alignment horizontal="center" vertical="center" wrapText="1"/>
    </xf>
    <xf numFmtId="4" fontId="11" fillId="11" borderId="46" xfId="0" applyNumberFormat="1" applyFont="1" applyFill="1" applyBorder="1" applyAlignment="1">
      <alignment horizontal="center" vertical="center" wrapText="1"/>
    </xf>
    <xf numFmtId="0" fontId="4" fillId="11" borderId="80" xfId="0" applyFont="1" applyFill="1" applyBorder="1" applyAlignment="1">
      <alignment horizontal="center" vertical="center"/>
    </xf>
    <xf numFmtId="0" fontId="4" fillId="11" borderId="90" xfId="0" applyFont="1" applyFill="1" applyBorder="1" applyAlignment="1">
      <alignment horizontal="center" vertical="center"/>
    </xf>
    <xf numFmtId="173" fontId="11" fillId="10" borderId="48" xfId="0" applyNumberFormat="1" applyFont="1" applyFill="1" applyBorder="1" applyAlignment="1">
      <alignment horizontal="center" vertical="center" wrapText="1"/>
    </xf>
    <xf numFmtId="173" fontId="11" fillId="10" borderId="49" xfId="0" applyNumberFormat="1" applyFont="1" applyFill="1" applyBorder="1" applyAlignment="1">
      <alignment horizontal="center" vertical="center" wrapText="1"/>
    </xf>
    <xf numFmtId="173" fontId="11" fillId="10" borderId="46" xfId="0" applyNumberFormat="1" applyFont="1" applyFill="1" applyBorder="1" applyAlignment="1">
      <alignment horizontal="center" vertical="center" wrapText="1"/>
    </xf>
    <xf numFmtId="164" fontId="11" fillId="10" borderId="39" xfId="0" applyNumberFormat="1" applyFont="1" applyFill="1" applyBorder="1" applyAlignment="1">
      <alignment horizontal="center" vertical="center" wrapText="1"/>
    </xf>
    <xf numFmtId="167" fontId="19" fillId="10" borderId="80" xfId="2" applyNumberFormat="1" applyFont="1" applyFill="1" applyBorder="1" applyAlignment="1">
      <alignment horizontal="center" vertical="center" wrapText="1"/>
    </xf>
    <xf numFmtId="167" fontId="19" fillId="10" borderId="77" xfId="2" applyNumberFormat="1" applyFont="1" applyFill="1" applyBorder="1" applyAlignment="1">
      <alignment horizontal="center" vertical="center" wrapText="1"/>
    </xf>
    <xf numFmtId="167" fontId="19" fillId="10" borderId="44" xfId="2" applyNumberFormat="1" applyFont="1" applyFill="1" applyBorder="1" applyAlignment="1">
      <alignment horizontal="center" vertical="center" wrapText="1"/>
    </xf>
    <xf numFmtId="168" fontId="19" fillId="10" borderId="80" xfId="2" applyNumberFormat="1" applyFont="1" applyFill="1" applyBorder="1" applyAlignment="1">
      <alignment horizontal="center" vertical="center" wrapText="1"/>
    </xf>
    <xf numFmtId="168" fontId="19" fillId="10" borderId="77" xfId="2" applyNumberFormat="1" applyFont="1" applyFill="1" applyBorder="1" applyAlignment="1">
      <alignment horizontal="center" vertical="center" wrapText="1"/>
    </xf>
    <xf numFmtId="168" fontId="19" fillId="10" borderId="44" xfId="2" applyNumberFormat="1" applyFont="1" applyFill="1" applyBorder="1" applyAlignment="1">
      <alignment horizontal="center" vertical="center" wrapText="1"/>
    </xf>
    <xf numFmtId="0" fontId="15" fillId="10" borderId="73" xfId="0" applyFont="1" applyFill="1" applyBorder="1" applyAlignment="1">
      <alignment horizontal="left" vertical="center" wrapText="1"/>
    </xf>
    <xf numFmtId="0" fontId="15" fillId="10" borderId="77" xfId="0" applyFont="1" applyFill="1" applyBorder="1" applyAlignment="1">
      <alignment horizontal="left" vertical="center" wrapText="1"/>
    </xf>
    <xf numFmtId="0" fontId="15" fillId="10" borderId="86" xfId="0" applyFont="1" applyFill="1" applyBorder="1" applyAlignment="1">
      <alignment horizontal="left" vertical="center" wrapText="1"/>
    </xf>
    <xf numFmtId="1" fontId="15" fillId="10" borderId="80" xfId="0" applyNumberFormat="1" applyFont="1" applyFill="1" applyBorder="1" applyAlignment="1">
      <alignment horizontal="center" vertical="center"/>
    </xf>
    <xf numFmtId="1" fontId="15" fillId="10" borderId="86" xfId="0" applyNumberFormat="1" applyFont="1" applyFill="1" applyBorder="1" applyAlignment="1">
      <alignment horizontal="center" vertical="center"/>
    </xf>
    <xf numFmtId="1" fontId="15" fillId="10" borderId="89" xfId="0" applyNumberFormat="1" applyFont="1" applyFill="1" applyBorder="1" applyAlignment="1">
      <alignment horizontal="center" vertical="center"/>
    </xf>
    <xf numFmtId="164" fontId="15" fillId="10" borderId="86" xfId="0" applyNumberFormat="1" applyFont="1" applyFill="1" applyBorder="1" applyAlignment="1">
      <alignment horizontal="center" vertical="center" wrapText="1"/>
    </xf>
    <xf numFmtId="164" fontId="15" fillId="10" borderId="89" xfId="0" applyNumberFormat="1" applyFont="1" applyFill="1" applyBorder="1" applyAlignment="1">
      <alignment horizontal="center" vertical="center" wrapText="1"/>
    </xf>
    <xf numFmtId="164" fontId="15" fillId="10" borderId="45" xfId="0" applyNumberFormat="1" applyFont="1" applyFill="1" applyBorder="1" applyAlignment="1">
      <alignment horizontal="center" vertical="center" wrapText="1"/>
    </xf>
    <xf numFmtId="0" fontId="15" fillId="11" borderId="89" xfId="0" applyFont="1" applyFill="1" applyBorder="1" applyAlignment="1">
      <alignment horizontal="center" vertical="center"/>
    </xf>
    <xf numFmtId="0" fontId="4" fillId="11" borderId="86" xfId="0" applyFont="1" applyFill="1" applyBorder="1" applyAlignment="1">
      <alignment horizontal="center" vertical="center"/>
    </xf>
    <xf numFmtId="0" fontId="4" fillId="11" borderId="89" xfId="0" applyFont="1" applyFill="1" applyBorder="1" applyAlignment="1">
      <alignment horizontal="center" vertical="center"/>
    </xf>
    <xf numFmtId="2" fontId="4" fillId="11" borderId="12" xfId="0" applyNumberFormat="1" applyFont="1" applyFill="1" applyBorder="1" applyAlignment="1">
      <alignment horizontal="center" vertical="center"/>
    </xf>
    <xf numFmtId="2" fontId="0" fillId="10" borderId="15" xfId="0" applyNumberFormat="1" applyFont="1" applyFill="1" applyBorder="1" applyAlignment="1">
      <alignment horizontal="center" vertical="center"/>
    </xf>
    <xf numFmtId="2" fontId="0" fillId="10" borderId="13" xfId="0" applyNumberFormat="1" applyFont="1" applyFill="1" applyBorder="1" applyAlignment="1">
      <alignment horizontal="center" vertical="center"/>
    </xf>
    <xf numFmtId="164" fontId="11" fillId="10" borderId="73" xfId="0" applyNumberFormat="1" applyFont="1" applyFill="1" applyBorder="1" applyAlignment="1">
      <alignment horizontal="center" vertical="center" wrapText="1"/>
    </xf>
    <xf numFmtId="164" fontId="11" fillId="10" borderId="44" xfId="0" applyNumberFormat="1" applyFont="1" applyFill="1" applyBorder="1" applyAlignment="1">
      <alignment horizontal="center" vertical="center" wrapText="1"/>
    </xf>
    <xf numFmtId="167" fontId="11" fillId="10" borderId="73" xfId="0" applyNumberFormat="1" applyFont="1" applyFill="1" applyBorder="1" applyAlignment="1">
      <alignment horizontal="center" vertical="center"/>
    </xf>
    <xf numFmtId="167" fontId="11" fillId="10" borderId="15" xfId="0" applyNumberFormat="1" applyFont="1" applyFill="1" applyBorder="1" applyAlignment="1">
      <alignment horizontal="center" vertical="center"/>
    </xf>
    <xf numFmtId="167" fontId="11" fillId="10" borderId="44" xfId="0" applyNumberFormat="1" applyFont="1" applyFill="1" applyBorder="1" applyAlignment="1">
      <alignment horizontal="center" vertical="center"/>
    </xf>
    <xf numFmtId="2" fontId="4" fillId="10" borderId="12" xfId="0" applyNumberFormat="1" applyFont="1" applyFill="1" applyBorder="1" applyAlignment="1">
      <alignment horizontal="center" vertical="center"/>
    </xf>
    <xf numFmtId="2" fontId="4" fillId="10" borderId="15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2" fontId="4" fillId="11" borderId="15" xfId="0" applyNumberFormat="1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15" xfId="0" applyNumberFormat="1" applyFont="1" applyFill="1" applyBorder="1" applyAlignment="1">
      <alignment horizontal="center" vertical="center" wrapText="1"/>
    </xf>
    <xf numFmtId="1" fontId="6" fillId="10" borderId="13" xfId="0" applyNumberFormat="1" applyFont="1" applyFill="1" applyBorder="1" applyAlignment="1">
      <alignment horizontal="center" vertical="center" wrapText="1"/>
    </xf>
    <xf numFmtId="2" fontId="4" fillId="11" borderId="15" xfId="0" applyNumberFormat="1" applyFont="1" applyFill="1" applyBorder="1" applyAlignment="1">
      <alignment horizontal="center" vertical="center"/>
    </xf>
    <xf numFmtId="2" fontId="4" fillId="11" borderId="13" xfId="0" applyNumberFormat="1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167" fontId="19" fillId="10" borderId="12" xfId="0" applyNumberFormat="1" applyFont="1" applyFill="1" applyBorder="1" applyAlignment="1">
      <alignment horizontal="center" vertical="center" wrapText="1"/>
    </xf>
    <xf numFmtId="167" fontId="19" fillId="10" borderId="15" xfId="0" applyNumberFormat="1" applyFont="1" applyFill="1" applyBorder="1" applyAlignment="1">
      <alignment horizontal="center" vertical="center" wrapText="1"/>
    </xf>
    <xf numFmtId="167" fontId="19" fillId="10" borderId="13" xfId="0" applyNumberFormat="1" applyFont="1" applyFill="1" applyBorder="1" applyAlignment="1">
      <alignment horizontal="center" vertical="center" wrapText="1"/>
    </xf>
    <xf numFmtId="0" fontId="19" fillId="11" borderId="104" xfId="0" applyFont="1" applyFill="1" applyBorder="1" applyAlignment="1">
      <alignment horizontal="center" vertical="center"/>
    </xf>
    <xf numFmtId="0" fontId="20" fillId="10" borderId="93" xfId="0" applyFont="1" applyFill="1" applyBorder="1" applyAlignment="1">
      <alignment horizontal="center" vertical="center"/>
    </xf>
    <xf numFmtId="0" fontId="15" fillId="11" borderId="120" xfId="0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6" fillId="10" borderId="93" xfId="0" applyFont="1" applyFill="1" applyBorder="1" applyAlignment="1">
      <alignment horizontal="center" vertical="center" wrapText="1"/>
    </xf>
    <xf numFmtId="4" fontId="15" fillId="11" borderId="93" xfId="0" applyNumberFormat="1" applyFont="1" applyFill="1" applyBorder="1" applyAlignment="1">
      <alignment horizontal="center" vertical="center" wrapText="1"/>
    </xf>
    <xf numFmtId="0" fontId="15" fillId="10" borderId="93" xfId="0" applyFont="1" applyFill="1" applyBorder="1" applyAlignment="1">
      <alignment horizontal="center" vertical="center" wrapText="1"/>
    </xf>
    <xf numFmtId="2" fontId="15" fillId="11" borderId="49" xfId="0" applyNumberFormat="1" applyFont="1" applyFill="1" applyBorder="1" applyAlignment="1">
      <alignment horizontal="center" vertical="center"/>
    </xf>
    <xf numFmtId="170" fontId="15" fillId="10" borderId="12" xfId="0" applyNumberFormat="1" applyFont="1" applyFill="1" applyBorder="1" applyAlignment="1">
      <alignment horizontal="center" vertical="center" wrapText="1"/>
    </xf>
    <xf numFmtId="170" fontId="15" fillId="10" borderId="13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5" fillId="10" borderId="34" xfId="0" applyFont="1" applyFill="1" applyBorder="1" applyAlignment="1">
      <alignment horizontal="center" vertical="center" wrapText="1"/>
    </xf>
    <xf numFmtId="4" fontId="15" fillId="11" borderId="13" xfId="0" applyNumberFormat="1" applyFont="1" applyFill="1" applyBorder="1" applyAlignment="1">
      <alignment horizontal="center" vertical="center"/>
    </xf>
    <xf numFmtId="4" fontId="15" fillId="11" borderId="15" xfId="0" applyNumberFormat="1" applyFont="1" applyFill="1" applyBorder="1" applyAlignment="1">
      <alignment horizontal="center" vertical="center"/>
    </xf>
    <xf numFmtId="166" fontId="27" fillId="10" borderId="40" xfId="0" applyNumberFormat="1" applyFont="1" applyFill="1" applyBorder="1" applyAlignment="1">
      <alignment horizontal="center" vertical="center" wrapText="1"/>
    </xf>
    <xf numFmtId="166" fontId="27" fillId="10" borderId="2" xfId="0" applyNumberFormat="1" applyFont="1" applyFill="1" applyBorder="1" applyAlignment="1">
      <alignment horizontal="center" vertical="center" wrapText="1"/>
    </xf>
    <xf numFmtId="4" fontId="15" fillId="11" borderId="75" xfId="0" applyNumberFormat="1" applyFont="1" applyFill="1" applyBorder="1" applyAlignment="1">
      <alignment horizontal="center" vertical="center" wrapText="1"/>
    </xf>
    <xf numFmtId="4" fontId="27" fillId="10" borderId="12" xfId="0" applyNumberFormat="1" applyFont="1" applyFill="1" applyBorder="1" applyAlignment="1">
      <alignment horizontal="center" vertical="center" wrapText="1"/>
    </xf>
    <xf numFmtId="4" fontId="27" fillId="10" borderId="13" xfId="0" applyNumberFormat="1" applyFont="1" applyFill="1" applyBorder="1" applyAlignment="1">
      <alignment horizontal="center" vertical="center" wrapText="1"/>
    </xf>
    <xf numFmtId="166" fontId="27" fillId="10" borderId="12" xfId="0" applyNumberFormat="1" applyFont="1" applyFill="1" applyBorder="1" applyAlignment="1">
      <alignment horizontal="center" vertical="center" wrapText="1"/>
    </xf>
    <xf numFmtId="166" fontId="27" fillId="10" borderId="13" xfId="0" applyNumberFormat="1" applyFont="1" applyFill="1" applyBorder="1" applyAlignment="1">
      <alignment horizontal="center" vertical="center" wrapText="1"/>
    </xf>
    <xf numFmtId="166" fontId="20" fillId="10" borderId="12" xfId="0" applyNumberFormat="1" applyFont="1" applyFill="1" applyBorder="1" applyAlignment="1">
      <alignment horizontal="center" vertical="center" wrapText="1"/>
    </xf>
    <xf numFmtId="166" fontId="20" fillId="10" borderId="13" xfId="0" applyNumberFormat="1" applyFont="1" applyFill="1" applyBorder="1" applyAlignment="1">
      <alignment horizontal="center" vertical="center" wrapText="1"/>
    </xf>
    <xf numFmtId="171" fontId="15" fillId="11" borderId="12" xfId="0" applyNumberFormat="1" applyFont="1" applyFill="1" applyBorder="1" applyAlignment="1">
      <alignment horizontal="center" vertical="center"/>
    </xf>
    <xf numFmtId="171" fontId="15" fillId="11" borderId="13" xfId="0" applyNumberFormat="1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 wrapText="1"/>
    </xf>
    <xf numFmtId="0" fontId="15" fillId="10" borderId="79" xfId="0" applyFont="1" applyFill="1" applyBorder="1" applyAlignment="1">
      <alignment horizontal="center" vertical="center" wrapText="1"/>
    </xf>
    <xf numFmtId="167" fontId="15" fillId="10" borderId="80" xfId="0" applyNumberFormat="1" applyFont="1" applyFill="1" applyBorder="1" applyAlignment="1">
      <alignment horizontal="center" vertical="center" wrapText="1"/>
    </xf>
    <xf numFmtId="167" fontId="15" fillId="10" borderId="77" xfId="0" applyNumberFormat="1" applyFont="1" applyFill="1" applyBorder="1" applyAlignment="1">
      <alignment horizontal="center" vertical="center" wrapText="1"/>
    </xf>
    <xf numFmtId="166" fontId="18" fillId="10" borderId="4" xfId="0" applyNumberFormat="1" applyFont="1" applyFill="1" applyBorder="1" applyAlignment="1">
      <alignment horizontal="left" vertical="center" wrapText="1"/>
    </xf>
    <xf numFmtId="166" fontId="18" fillId="10" borderId="14" xfId="0" applyNumberFormat="1" applyFont="1" applyFill="1" applyBorder="1" applyAlignment="1">
      <alignment horizontal="left" vertical="center" wrapText="1"/>
    </xf>
    <xf numFmtId="166" fontId="18" fillId="10" borderId="5" xfId="0" applyNumberFormat="1" applyFont="1" applyFill="1" applyBorder="1" applyAlignment="1">
      <alignment horizontal="left" vertical="center" wrapText="1"/>
    </xf>
    <xf numFmtId="49" fontId="28" fillId="10" borderId="89" xfId="0" applyNumberFormat="1" applyFont="1" applyFill="1" applyBorder="1" applyAlignment="1">
      <alignment horizontal="center" vertical="center" wrapText="1"/>
    </xf>
    <xf numFmtId="49" fontId="28" fillId="10" borderId="13" xfId="0" applyNumberFormat="1" applyFont="1" applyFill="1" applyBorder="1" applyAlignment="1">
      <alignment horizontal="center" vertical="center" wrapText="1"/>
    </xf>
    <xf numFmtId="166" fontId="28" fillId="10" borderId="15" xfId="0" applyNumberFormat="1" applyFont="1" applyFill="1" applyBorder="1" applyAlignment="1">
      <alignment horizontal="center" vertical="center" wrapText="1"/>
    </xf>
    <xf numFmtId="2" fontId="15" fillId="10" borderId="89" xfId="0" applyNumberFormat="1" applyFont="1" applyFill="1" applyBorder="1" applyAlignment="1">
      <alignment horizontal="center" vertical="center" wrapText="1"/>
    </xf>
    <xf numFmtId="4" fontId="27" fillId="10" borderId="48" xfId="0" applyNumberFormat="1" applyFont="1" applyFill="1" applyBorder="1" applyAlignment="1">
      <alignment horizontal="center" vertical="center" wrapText="1"/>
    </xf>
    <xf numFmtId="4" fontId="27" fillId="10" borderId="49" xfId="0" applyNumberFormat="1" applyFont="1" applyFill="1" applyBorder="1" applyAlignment="1">
      <alignment horizontal="center" vertical="center" wrapText="1"/>
    </xf>
    <xf numFmtId="2" fontId="15" fillId="10" borderId="79" xfId="0" applyNumberFormat="1" applyFont="1" applyFill="1" applyBorder="1" applyAlignment="1">
      <alignment horizontal="center" vertical="center" wrapText="1"/>
    </xf>
    <xf numFmtId="165" fontId="15" fillId="10" borderId="73" xfId="0" applyNumberFormat="1" applyFont="1" applyFill="1" applyBorder="1" applyAlignment="1">
      <alignment horizontal="center" vertical="center" wrapText="1"/>
    </xf>
    <xf numFmtId="4" fontId="10" fillId="10" borderId="75" xfId="0" applyNumberFormat="1" applyFont="1" applyFill="1" applyBorder="1" applyAlignment="1">
      <alignment horizontal="center" vertical="center" wrapText="1"/>
    </xf>
    <xf numFmtId="4" fontId="10" fillId="10" borderId="46" xfId="0" applyNumberFormat="1" applyFont="1" applyFill="1" applyBorder="1" applyAlignment="1">
      <alignment horizontal="center" vertical="center" wrapText="1"/>
    </xf>
    <xf numFmtId="166" fontId="27" fillId="15" borderId="73" xfId="0" applyNumberFormat="1" applyFont="1" applyFill="1" applyBorder="1" applyAlignment="1">
      <alignment horizontal="center" vertical="center" wrapText="1"/>
    </xf>
    <xf numFmtId="166" fontId="27" fillId="15" borderId="15" xfId="0" applyNumberFormat="1" applyFont="1" applyFill="1" applyBorder="1" applyAlignment="1">
      <alignment horizontal="center" vertical="center" wrapText="1"/>
    </xf>
    <xf numFmtId="166" fontId="27" fillId="15" borderId="79" xfId="0" applyNumberFormat="1" applyFont="1" applyFill="1" applyBorder="1" applyAlignment="1">
      <alignment horizontal="center" vertical="center" wrapText="1"/>
    </xf>
    <xf numFmtId="166" fontId="27" fillId="10" borderId="74" xfId="0" applyNumberFormat="1" applyFont="1" applyFill="1" applyBorder="1" applyAlignment="1">
      <alignment horizontal="center" vertical="center" wrapText="1"/>
    </xf>
    <xf numFmtId="166" fontId="27" fillId="10" borderId="91" xfId="0" applyNumberFormat="1" applyFont="1" applyFill="1" applyBorder="1" applyAlignment="1">
      <alignment horizontal="center" vertical="center" wrapText="1"/>
    </xf>
    <xf numFmtId="166" fontId="27" fillId="10" borderId="107" xfId="0" applyNumberFormat="1" applyFont="1" applyFill="1" applyBorder="1" applyAlignment="1">
      <alignment horizontal="center" vertical="center" wrapText="1"/>
    </xf>
    <xf numFmtId="166" fontId="27" fillId="10" borderId="104" xfId="0" applyNumberFormat="1" applyFont="1" applyFill="1" applyBorder="1" applyAlignment="1">
      <alignment horizontal="center" vertical="center" wrapText="1"/>
    </xf>
    <xf numFmtId="166" fontId="15" fillId="15" borderId="2" xfId="0" applyNumberFormat="1" applyFont="1" applyFill="1" applyBorder="1" applyAlignment="1">
      <alignment horizontal="center" vertical="center" wrapText="1"/>
    </xf>
    <xf numFmtId="166" fontId="15" fillId="10" borderId="73" xfId="0" applyNumberFormat="1" applyFont="1" applyFill="1" applyBorder="1" applyAlignment="1">
      <alignment horizontal="left" vertical="center" wrapText="1"/>
    </xf>
    <xf numFmtId="166" fontId="15" fillId="10" borderId="79" xfId="0" applyNumberFormat="1" applyFont="1" applyFill="1" applyBorder="1" applyAlignment="1">
      <alignment horizontal="left" vertical="center" wrapText="1"/>
    </xf>
    <xf numFmtId="4" fontId="27" fillId="10" borderId="54" xfId="0" applyNumberFormat="1" applyFont="1" applyFill="1" applyBorder="1" applyAlignment="1">
      <alignment horizontal="center" vertical="center" wrapText="1"/>
    </xf>
    <xf numFmtId="4" fontId="27" fillId="10" borderId="3" xfId="0" applyNumberFormat="1" applyFont="1" applyFill="1" applyBorder="1" applyAlignment="1">
      <alignment horizontal="center" vertical="center" wrapText="1"/>
    </xf>
    <xf numFmtId="166" fontId="10" fillId="10" borderId="80" xfId="0" applyNumberFormat="1" applyFont="1" applyFill="1" applyBorder="1" applyAlignment="1">
      <alignment horizontal="center" vertical="center" wrapText="1"/>
    </xf>
    <xf numFmtId="166" fontId="10" fillId="10" borderId="90" xfId="0" applyNumberFormat="1" applyFont="1" applyFill="1" applyBorder="1" applyAlignment="1">
      <alignment horizontal="center" vertical="center" wrapText="1"/>
    </xf>
    <xf numFmtId="166" fontId="15" fillId="10" borderId="127" xfId="0" applyNumberFormat="1" applyFont="1" applyFill="1" applyBorder="1" applyAlignment="1">
      <alignment horizontal="center" vertical="center" wrapText="1"/>
    </xf>
    <xf numFmtId="14" fontId="15" fillId="10" borderId="39" xfId="0" applyNumberFormat="1" applyFont="1" applyFill="1" applyBorder="1" applyAlignment="1">
      <alignment horizontal="center" vertical="center" wrapText="1"/>
    </xf>
    <xf numFmtId="14" fontId="15" fillId="10" borderId="13" xfId="0" applyNumberFormat="1" applyFont="1" applyFill="1" applyBorder="1" applyAlignment="1">
      <alignment horizontal="center" vertical="center" wrapText="1"/>
    </xf>
    <xf numFmtId="166" fontId="27" fillId="15" borderId="40" xfId="0" applyNumberFormat="1" applyFont="1" applyFill="1" applyBorder="1" applyAlignment="1">
      <alignment horizontal="center" vertical="center" wrapText="1"/>
    </xf>
    <xf numFmtId="166" fontId="27" fillId="15" borderId="2" xfId="0" applyNumberFormat="1" applyFont="1" applyFill="1" applyBorder="1" applyAlignment="1">
      <alignment horizontal="center" vertical="center" wrapText="1"/>
    </xf>
    <xf numFmtId="166" fontId="27" fillId="15" borderId="45" xfId="0" applyNumberFormat="1" applyFont="1" applyFill="1" applyBorder="1" applyAlignment="1">
      <alignment horizontal="center" vertical="center" wrapText="1"/>
    </xf>
    <xf numFmtId="166" fontId="27" fillId="15" borderId="51" xfId="0" applyNumberFormat="1" applyFont="1" applyFill="1" applyBorder="1" applyAlignment="1">
      <alignment horizontal="center" vertical="center" wrapText="1"/>
    </xf>
    <xf numFmtId="166" fontId="27" fillId="15" borderId="56" xfId="0" applyNumberFormat="1" applyFont="1" applyFill="1" applyBorder="1" applyAlignment="1">
      <alignment horizontal="center" vertical="center" wrapText="1"/>
    </xf>
    <xf numFmtId="166" fontId="27" fillId="15" borderId="52" xfId="0" applyNumberFormat="1" applyFont="1" applyFill="1" applyBorder="1" applyAlignment="1">
      <alignment horizontal="center" vertical="center" wrapText="1"/>
    </xf>
    <xf numFmtId="164" fontId="15" fillId="14" borderId="2" xfId="0" applyNumberFormat="1" applyFont="1" applyFill="1" applyBorder="1" applyAlignment="1">
      <alignment horizontal="center" vertical="center" wrapText="1"/>
    </xf>
    <xf numFmtId="167" fontId="10" fillId="10" borderId="40" xfId="0" applyNumberFormat="1" applyFont="1" applyFill="1" applyBorder="1" applyAlignment="1">
      <alignment horizontal="center" vertical="center" wrapText="1"/>
    </xf>
    <xf numFmtId="167" fontId="10" fillId="10" borderId="45" xfId="0" applyNumberFormat="1" applyFont="1" applyFill="1" applyBorder="1" applyAlignment="1">
      <alignment horizontal="center" vertical="center" wrapText="1"/>
    </xf>
    <xf numFmtId="166" fontId="27" fillId="15" borderId="60" xfId="0" applyNumberFormat="1" applyFont="1" applyFill="1" applyBorder="1" applyAlignment="1">
      <alignment horizontal="center" vertical="center" wrapText="1"/>
    </xf>
    <xf numFmtId="166" fontId="27" fillId="15" borderId="9" xfId="0" applyNumberFormat="1" applyFont="1" applyFill="1" applyBorder="1" applyAlignment="1">
      <alignment horizontal="center" vertical="center" wrapText="1"/>
    </xf>
    <xf numFmtId="166" fontId="27" fillId="15" borderId="61" xfId="0" applyNumberFormat="1" applyFont="1" applyFill="1" applyBorder="1" applyAlignment="1">
      <alignment horizontal="center" vertical="center" wrapText="1"/>
    </xf>
    <xf numFmtId="166" fontId="15" fillId="15" borderId="73" xfId="0" applyNumberFormat="1" applyFont="1" applyFill="1" applyBorder="1" applyAlignment="1">
      <alignment horizontal="center" vertical="center" wrapText="1"/>
    </xf>
    <xf numFmtId="166" fontId="15" fillId="15" borderId="15" xfId="0" applyNumberFormat="1" applyFont="1" applyFill="1" applyBorder="1" applyAlignment="1">
      <alignment horizontal="center" vertical="center" wrapText="1"/>
    </xf>
    <xf numFmtId="166" fontId="15" fillId="15" borderId="127" xfId="0" applyNumberFormat="1" applyFont="1" applyFill="1" applyBorder="1" applyAlignment="1">
      <alignment horizontal="center" vertical="center" wrapText="1"/>
    </xf>
    <xf numFmtId="4" fontId="15" fillId="11" borderId="49" xfId="0" applyNumberFormat="1" applyFont="1" applyFill="1" applyBorder="1" applyAlignment="1">
      <alignment horizontal="center" vertical="center" wrapText="1"/>
    </xf>
    <xf numFmtId="4" fontId="15" fillId="11" borderId="121" xfId="0" applyNumberFormat="1" applyFont="1" applyFill="1" applyBorder="1" applyAlignment="1">
      <alignment horizontal="center" vertical="center" wrapText="1"/>
    </xf>
    <xf numFmtId="0" fontId="15" fillId="10" borderId="123" xfId="0" applyFont="1" applyFill="1" applyBorder="1" applyAlignment="1">
      <alignment horizontal="center" vertical="center" wrapText="1"/>
    </xf>
    <xf numFmtId="2" fontId="15" fillId="10" borderId="123" xfId="0" applyNumberFormat="1" applyFont="1" applyFill="1" applyBorder="1" applyAlignment="1">
      <alignment horizontal="center" vertical="center" wrapText="1"/>
    </xf>
    <xf numFmtId="14" fontId="15" fillId="10" borderId="123" xfId="0" applyNumberFormat="1" applyFont="1" applyFill="1" applyBorder="1" applyAlignment="1">
      <alignment horizontal="center" vertical="center" wrapText="1"/>
    </xf>
    <xf numFmtId="4" fontId="15" fillId="10" borderId="123" xfId="0" applyNumberFormat="1" applyFont="1" applyFill="1" applyBorder="1" applyAlignment="1">
      <alignment horizontal="center" vertical="center" wrapText="1"/>
    </xf>
    <xf numFmtId="4" fontId="15" fillId="10" borderId="118" xfId="0" applyNumberFormat="1" applyFont="1" applyFill="1" applyBorder="1" applyAlignment="1">
      <alignment horizontal="center" vertical="center" wrapText="1"/>
    </xf>
    <xf numFmtId="4" fontId="15" fillId="10" borderId="127" xfId="0" applyNumberFormat="1" applyFont="1" applyFill="1" applyBorder="1" applyAlignment="1">
      <alignment horizontal="center" vertical="center" wrapText="1"/>
    </xf>
    <xf numFmtId="4" fontId="15" fillId="10" borderId="119" xfId="0" applyNumberFormat="1" applyFont="1" applyFill="1" applyBorder="1" applyAlignment="1">
      <alignment horizontal="center" vertical="center" wrapText="1"/>
    </xf>
    <xf numFmtId="164" fontId="15" fillId="10" borderId="118" xfId="0" applyNumberFormat="1" applyFont="1" applyFill="1" applyBorder="1" applyAlignment="1">
      <alignment horizontal="center" vertical="center" wrapText="1"/>
    </xf>
    <xf numFmtId="164" fontId="15" fillId="10" borderId="127" xfId="0" applyNumberFormat="1" applyFont="1" applyFill="1" applyBorder="1" applyAlignment="1">
      <alignment horizontal="center" vertical="center" wrapText="1"/>
    </xf>
    <xf numFmtId="164" fontId="15" fillId="10" borderId="119" xfId="0" applyNumberFormat="1" applyFont="1" applyFill="1" applyBorder="1" applyAlignment="1">
      <alignment horizontal="center" vertical="center" wrapText="1"/>
    </xf>
    <xf numFmtId="2" fontId="15" fillId="10" borderId="118" xfId="0" applyNumberFormat="1" applyFont="1" applyFill="1" applyBorder="1" applyAlignment="1">
      <alignment horizontal="center" vertical="center" wrapText="1"/>
    </xf>
    <xf numFmtId="2" fontId="15" fillId="10" borderId="127" xfId="0" applyNumberFormat="1" applyFont="1" applyFill="1" applyBorder="1" applyAlignment="1">
      <alignment horizontal="center" vertical="center" wrapText="1"/>
    </xf>
    <xf numFmtId="2" fontId="15" fillId="10" borderId="119" xfId="0" applyNumberFormat="1" applyFont="1" applyFill="1" applyBorder="1" applyAlignment="1">
      <alignment horizontal="center" vertical="center" wrapText="1"/>
    </xf>
    <xf numFmtId="49" fontId="15" fillId="10" borderId="39" xfId="0" applyNumberFormat="1" applyFont="1" applyFill="1" applyBorder="1" applyAlignment="1">
      <alignment horizontal="left" vertical="center" wrapText="1"/>
    </xf>
    <xf numFmtId="49" fontId="15" fillId="10" borderId="44" xfId="0" applyNumberFormat="1" applyFont="1" applyFill="1" applyBorder="1" applyAlignment="1">
      <alignment horizontal="left" vertical="center" wrapText="1"/>
    </xf>
    <xf numFmtId="0" fontId="15" fillId="11" borderId="66" xfId="0" applyFont="1" applyFill="1" applyBorder="1" applyAlignment="1">
      <alignment horizontal="center" vertical="center" wrapText="1"/>
    </xf>
    <xf numFmtId="0" fontId="15" fillId="11" borderId="63" xfId="0" applyFont="1" applyFill="1" applyBorder="1" applyAlignment="1">
      <alignment horizontal="center" vertical="center" wrapText="1"/>
    </xf>
    <xf numFmtId="14" fontId="15" fillId="10" borderId="127" xfId="0" applyNumberFormat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4" fontId="15" fillId="11" borderId="41" xfId="0" applyNumberFormat="1" applyFont="1" applyFill="1" applyBorder="1" applyAlignment="1">
      <alignment horizontal="center" vertical="center" wrapText="1"/>
    </xf>
    <xf numFmtId="4" fontId="15" fillId="11" borderId="42" xfId="0" applyNumberFormat="1" applyFont="1" applyFill="1" applyBorder="1" applyAlignment="1">
      <alignment horizontal="center" vertical="center" wrapText="1"/>
    </xf>
    <xf numFmtId="0" fontId="15" fillId="11" borderId="65" xfId="0" applyFont="1" applyFill="1" applyBorder="1" applyAlignment="1">
      <alignment horizontal="center" vertical="center" wrapText="1"/>
    </xf>
    <xf numFmtId="0" fontId="15" fillId="11" borderId="62" xfId="0" applyFont="1" applyFill="1" applyBorder="1" applyAlignment="1">
      <alignment horizontal="center" vertical="center" wrapText="1"/>
    </xf>
    <xf numFmtId="166" fontId="27" fillId="10" borderId="45" xfId="0" applyNumberFormat="1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4" fontId="15" fillId="11" borderId="118" xfId="0" applyNumberFormat="1" applyFont="1" applyFill="1" applyBorder="1" applyAlignment="1">
      <alignment horizontal="center" vertical="center" wrapText="1"/>
    </xf>
    <xf numFmtId="4" fontId="15" fillId="11" borderId="127" xfId="0" applyNumberFormat="1" applyFont="1" applyFill="1" applyBorder="1" applyAlignment="1">
      <alignment horizontal="center" vertical="center" wrapText="1"/>
    </xf>
    <xf numFmtId="4" fontId="15" fillId="11" borderId="119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5" fillId="10" borderId="104" xfId="2" applyFont="1" applyFill="1" applyBorder="1" applyAlignment="1">
      <alignment horizontal="center" vertical="center" wrapText="1"/>
    </xf>
    <xf numFmtId="0" fontId="15" fillId="10" borderId="44" xfId="2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left" vertical="center"/>
    </xf>
    <xf numFmtId="0" fontId="26" fillId="13" borderId="6" xfId="0" applyFont="1" applyFill="1" applyBorder="1" applyAlignment="1">
      <alignment horizontal="left" vertical="center"/>
    </xf>
    <xf numFmtId="0" fontId="26" fillId="13" borderId="7" xfId="0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2" fontId="15" fillId="11" borderId="104" xfId="0" applyNumberFormat="1" applyFont="1" applyFill="1" applyBorder="1" applyAlignment="1">
      <alignment horizontal="center" vertical="center" wrapText="1"/>
    </xf>
    <xf numFmtId="164" fontId="15" fillId="10" borderId="104" xfId="0" applyNumberFormat="1" applyFont="1" applyFill="1" applyBorder="1" applyAlignment="1">
      <alignment horizontal="center" vertical="center" wrapText="1"/>
    </xf>
    <xf numFmtId="0" fontId="15" fillId="10" borderId="120" xfId="0" applyFont="1" applyFill="1" applyBorder="1" applyAlignment="1">
      <alignment horizontal="center" vertical="center" wrapText="1"/>
    </xf>
    <xf numFmtId="4" fontId="15" fillId="11" borderId="104" xfId="0" applyNumberFormat="1" applyFont="1" applyFill="1" applyBorder="1" applyAlignment="1">
      <alignment horizontal="center" vertical="center" wrapText="1"/>
    </xf>
    <xf numFmtId="4" fontId="27" fillId="10" borderId="41" xfId="0" applyNumberFormat="1" applyFont="1" applyFill="1" applyBorder="1" applyAlignment="1">
      <alignment horizontal="center" vertical="center" wrapText="1"/>
    </xf>
    <xf numFmtId="4" fontId="27" fillId="10" borderId="57" xfId="0" applyNumberFormat="1" applyFont="1" applyFill="1" applyBorder="1" applyAlignment="1">
      <alignment horizontal="center" vertical="center" wrapText="1"/>
    </xf>
    <xf numFmtId="4" fontId="15" fillId="11" borderId="50" xfId="0" applyNumberFormat="1" applyFont="1" applyFill="1" applyBorder="1" applyAlignment="1">
      <alignment horizontal="center" vertical="center" wrapText="1"/>
    </xf>
    <xf numFmtId="4" fontId="27" fillId="10" borderId="121" xfId="0" applyNumberFormat="1" applyFont="1" applyFill="1" applyBorder="1" applyAlignment="1">
      <alignment horizontal="center" vertical="center" wrapText="1"/>
    </xf>
    <xf numFmtId="4" fontId="27" fillId="10" borderId="74" xfId="0" applyNumberFormat="1" applyFont="1" applyFill="1" applyBorder="1" applyAlignment="1">
      <alignment horizontal="center" vertical="center" wrapText="1"/>
    </xf>
    <xf numFmtId="4" fontId="27" fillId="10" borderId="91" xfId="0" applyNumberFormat="1" applyFont="1" applyFill="1" applyBorder="1" applyAlignment="1">
      <alignment horizontal="center" vertical="center" wrapText="1"/>
    </xf>
    <xf numFmtId="166" fontId="15" fillId="15" borderId="79" xfId="0" applyNumberFormat="1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4" fontId="15" fillId="11" borderId="74" xfId="0" applyNumberFormat="1" applyFont="1" applyFill="1" applyBorder="1" applyAlignment="1">
      <alignment horizontal="center" vertical="center" wrapText="1"/>
    </xf>
    <xf numFmtId="4" fontId="15" fillId="11" borderId="10" xfId="0" applyNumberFormat="1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4" fontId="15" fillId="11" borderId="40" xfId="0" applyNumberFormat="1" applyFont="1" applyFill="1" applyBorder="1" applyAlignment="1">
      <alignment horizontal="center" vertical="center" wrapText="1"/>
    </xf>
    <xf numFmtId="165" fontId="15" fillId="11" borderId="2" xfId="0" applyNumberFormat="1" applyFont="1" applyFill="1" applyBorder="1" applyAlignment="1">
      <alignment horizontal="center" vertical="center" wrapText="1"/>
    </xf>
    <xf numFmtId="4" fontId="15" fillId="11" borderId="41" xfId="0" applyNumberFormat="1" applyFont="1" applyFill="1" applyBorder="1" applyAlignment="1">
      <alignment horizontal="center" vertical="center"/>
    </xf>
    <xf numFmtId="4" fontId="15" fillId="11" borderId="47" xfId="0" applyNumberFormat="1" applyFont="1" applyFill="1" applyBorder="1" applyAlignment="1">
      <alignment horizontal="center" vertical="center"/>
    </xf>
    <xf numFmtId="4" fontId="15" fillId="11" borderId="42" xfId="0" applyNumberFormat="1" applyFont="1" applyFill="1" applyBorder="1" applyAlignment="1">
      <alignment horizontal="center" vertical="center"/>
    </xf>
    <xf numFmtId="172" fontId="15" fillId="11" borderId="12" xfId="0" applyNumberFormat="1" applyFont="1" applyFill="1" applyBorder="1" applyAlignment="1">
      <alignment horizontal="center" vertical="center"/>
    </xf>
    <xf numFmtId="172" fontId="15" fillId="11" borderId="13" xfId="0" applyNumberFormat="1" applyFont="1" applyFill="1" applyBorder="1" applyAlignment="1">
      <alignment horizontal="center" vertical="center"/>
    </xf>
    <xf numFmtId="0" fontId="4" fillId="10" borderId="125" xfId="6" applyFont="1" applyFill="1" applyBorder="1" applyAlignment="1">
      <alignment horizontal="center" vertical="center" wrapText="1"/>
    </xf>
    <xf numFmtId="2" fontId="11" fillId="10" borderId="12" xfId="0" applyNumberFormat="1" applyFont="1" applyFill="1" applyBorder="1" applyAlignment="1">
      <alignment horizontal="center" vertical="center" wrapText="1"/>
    </xf>
    <xf numFmtId="2" fontId="11" fillId="10" borderId="15" xfId="0" applyNumberFormat="1" applyFont="1" applyFill="1" applyBorder="1" applyAlignment="1">
      <alignment horizontal="center" vertical="center" wrapText="1"/>
    </xf>
    <xf numFmtId="2" fontId="11" fillId="10" borderId="13" xfId="0" applyNumberFormat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2" fontId="6" fillId="11" borderId="2" xfId="0" applyNumberFormat="1" applyFont="1" applyFill="1" applyBorder="1" applyAlignment="1">
      <alignment horizontal="center" vertical="center"/>
    </xf>
    <xf numFmtId="2" fontId="20" fillId="10" borderId="2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 wrapText="1"/>
    </xf>
    <xf numFmtId="0" fontId="26" fillId="11" borderId="3" xfId="0" applyFont="1" applyFill="1" applyBorder="1" applyAlignment="1">
      <alignment horizontal="left" vertical="center"/>
    </xf>
    <xf numFmtId="0" fontId="26" fillId="11" borderId="6" xfId="0" applyFont="1" applyFill="1" applyBorder="1" applyAlignment="1">
      <alignment horizontal="left" vertical="center"/>
    </xf>
    <xf numFmtId="0" fontId="26" fillId="11" borderId="7" xfId="0" applyFont="1" applyFill="1" applyBorder="1" applyAlignment="1">
      <alignment horizontal="left" vertical="center"/>
    </xf>
    <xf numFmtId="4" fontId="27" fillId="10" borderId="104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1" fillId="11" borderId="39" xfId="0" applyFont="1" applyFill="1" applyBorder="1" applyAlignment="1">
      <alignment horizontal="center" vertical="center"/>
    </xf>
    <xf numFmtId="2" fontId="15" fillId="11" borderId="13" xfId="0" applyNumberFormat="1" applyFont="1" applyFill="1" applyBorder="1" applyAlignment="1">
      <alignment horizontal="center" vertical="center" wrapText="1"/>
    </xf>
    <xf numFmtId="0" fontId="30" fillId="10" borderId="73" xfId="0" applyFont="1" applyFill="1" applyBorder="1" applyAlignment="1">
      <alignment horizontal="center" vertical="center" wrapText="1"/>
    </xf>
    <xf numFmtId="0" fontId="30" fillId="10" borderId="15" xfId="0" applyFont="1" applyFill="1" applyBorder="1" applyAlignment="1">
      <alignment horizontal="center" vertical="center" wrapText="1"/>
    </xf>
    <xf numFmtId="0" fontId="30" fillId="10" borderId="44" xfId="0" applyFont="1" applyFill="1" applyBorder="1" applyAlignment="1">
      <alignment horizontal="center" vertical="center" wrapText="1"/>
    </xf>
    <xf numFmtId="0" fontId="4" fillId="10" borderId="27" xfId="6" applyFont="1" applyFill="1" applyBorder="1" applyAlignment="1">
      <alignment horizontal="center" vertical="center"/>
    </xf>
    <xf numFmtId="0" fontId="4" fillId="10" borderId="97" xfId="6" applyFont="1" applyFill="1" applyBorder="1" applyAlignment="1">
      <alignment horizontal="center" vertical="center"/>
    </xf>
    <xf numFmtId="166" fontId="28" fillId="6" borderId="12" xfId="0" applyNumberFormat="1" applyFont="1" applyFill="1" applyBorder="1" applyAlignment="1">
      <alignment horizontal="center" vertical="center" wrapText="1"/>
    </xf>
    <xf numFmtId="166" fontId="28" fillId="6" borderId="13" xfId="0" applyNumberFormat="1" applyFont="1" applyFill="1" applyBorder="1" applyAlignment="1">
      <alignment horizontal="center" vertical="center" wrapText="1"/>
    </xf>
    <xf numFmtId="169" fontId="11" fillId="10" borderId="75" xfId="0" applyNumberFormat="1" applyFont="1" applyFill="1" applyBorder="1" applyAlignment="1">
      <alignment horizontal="center" vertical="center" wrapText="1"/>
    </xf>
    <xf numFmtId="169" fontId="11" fillId="10" borderId="49" xfId="0" applyNumberFormat="1" applyFont="1" applyFill="1" applyBorder="1" applyAlignment="1">
      <alignment horizontal="center" vertical="center" wrapText="1"/>
    </xf>
    <xf numFmtId="169" fontId="11" fillId="10" borderId="46" xfId="0" applyNumberFormat="1" applyFont="1" applyFill="1" applyBorder="1" applyAlignment="1">
      <alignment horizontal="center" vertical="center" wrapText="1"/>
    </xf>
    <xf numFmtId="0" fontId="11" fillId="11" borderId="73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 wrapText="1"/>
    </xf>
    <xf numFmtId="164" fontId="19" fillId="10" borderId="13" xfId="2" applyNumberFormat="1" applyFont="1" applyFill="1" applyBorder="1" applyAlignment="1">
      <alignment horizontal="left" vertical="center" wrapText="1"/>
    </xf>
    <xf numFmtId="0" fontId="15" fillId="10" borderId="118" xfId="0" applyFont="1" applyFill="1" applyBorder="1" applyAlignment="1">
      <alignment horizontal="center" vertical="center" wrapText="1"/>
    </xf>
    <xf numFmtId="0" fontId="15" fillId="10" borderId="119" xfId="0" applyFont="1" applyFill="1" applyBorder="1" applyAlignment="1">
      <alignment horizontal="center" vertical="center" wrapText="1"/>
    </xf>
    <xf numFmtId="165" fontId="15" fillId="10" borderId="118" xfId="0" applyNumberFormat="1" applyFont="1" applyFill="1" applyBorder="1" applyAlignment="1">
      <alignment horizontal="center" vertical="center" wrapText="1"/>
    </xf>
    <xf numFmtId="165" fontId="15" fillId="10" borderId="93" xfId="0" applyNumberFormat="1" applyFont="1" applyFill="1" applyBorder="1" applyAlignment="1">
      <alignment horizontal="center" vertical="center" wrapText="1"/>
    </xf>
    <xf numFmtId="165" fontId="15" fillId="10" borderId="119" xfId="0" applyNumberFormat="1" applyFont="1" applyFill="1" applyBorder="1" applyAlignment="1">
      <alignment horizontal="center" vertical="center" wrapText="1"/>
    </xf>
    <xf numFmtId="0" fontId="15" fillId="10" borderId="87" xfId="0" applyFont="1" applyFill="1" applyBorder="1" applyAlignment="1">
      <alignment horizontal="center" vertical="center" wrapText="1"/>
    </xf>
    <xf numFmtId="166" fontId="15" fillId="10" borderId="118" xfId="0" applyNumberFormat="1" applyFont="1" applyFill="1" applyBorder="1" applyAlignment="1">
      <alignment horizontal="center" vertical="center" wrapText="1"/>
    </xf>
    <xf numFmtId="166" fontId="15" fillId="10" borderId="93" xfId="0" applyNumberFormat="1" applyFont="1" applyFill="1" applyBorder="1" applyAlignment="1">
      <alignment horizontal="center" vertical="center" wrapText="1"/>
    </xf>
    <xf numFmtId="166" fontId="15" fillId="10" borderId="119" xfId="0" applyNumberFormat="1" applyFont="1" applyFill="1" applyBorder="1" applyAlignment="1">
      <alignment horizontal="center" vertical="center" wrapText="1"/>
    </xf>
    <xf numFmtId="0" fontId="15" fillId="11" borderId="92" xfId="0" applyFont="1" applyFill="1" applyBorder="1" applyAlignment="1">
      <alignment horizontal="center" vertical="center" wrapText="1"/>
    </xf>
    <xf numFmtId="165" fontId="15" fillId="10" borderId="103" xfId="0" applyNumberFormat="1" applyFont="1" applyFill="1" applyBorder="1" applyAlignment="1">
      <alignment horizontal="center" vertical="center" wrapText="1"/>
    </xf>
    <xf numFmtId="165" fontId="15" fillId="10" borderId="109" xfId="0" applyNumberFormat="1" applyFont="1" applyFill="1" applyBorder="1" applyAlignment="1">
      <alignment horizontal="center" vertical="center" wrapText="1"/>
    </xf>
    <xf numFmtId="0" fontId="15" fillId="11" borderId="51" xfId="0" applyFont="1" applyFill="1" applyBorder="1" applyAlignment="1">
      <alignment horizontal="center" vertical="center" wrapText="1"/>
    </xf>
    <xf numFmtId="0" fontId="15" fillId="11" borderId="56" xfId="0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 wrapText="1"/>
    </xf>
    <xf numFmtId="166" fontId="10" fillId="10" borderId="12" xfId="0" applyNumberFormat="1" applyFont="1" applyFill="1" applyBorder="1" applyAlignment="1">
      <alignment horizontal="center" vertical="center" wrapText="1"/>
    </xf>
    <xf numFmtId="166" fontId="10" fillId="10" borderId="13" xfId="0" applyNumberFormat="1" applyFont="1" applyFill="1" applyBorder="1" applyAlignment="1">
      <alignment horizontal="center" vertical="center" wrapText="1"/>
    </xf>
    <xf numFmtId="0" fontId="15" fillId="11" borderId="51" xfId="0" applyFont="1" applyFill="1" applyBorder="1" applyAlignment="1">
      <alignment horizontal="center" vertical="center"/>
    </xf>
    <xf numFmtId="0" fontId="15" fillId="11" borderId="56" xfId="0" applyFont="1" applyFill="1" applyBorder="1" applyAlignment="1">
      <alignment horizontal="center" vertical="center"/>
    </xf>
    <xf numFmtId="0" fontId="15" fillId="11" borderId="72" xfId="0" applyFont="1" applyFill="1" applyBorder="1" applyAlignment="1">
      <alignment horizontal="center" vertical="center"/>
    </xf>
    <xf numFmtId="0" fontId="15" fillId="10" borderId="85" xfId="0" applyFont="1" applyFill="1" applyBorder="1" applyAlignment="1">
      <alignment horizontal="center" vertical="center" wrapText="1"/>
    </xf>
    <xf numFmtId="4" fontId="15" fillId="11" borderId="46" xfId="0" applyNumberFormat="1" applyFont="1" applyFill="1" applyBorder="1" applyAlignment="1">
      <alignment horizontal="center" vertical="center"/>
    </xf>
    <xf numFmtId="4" fontId="15" fillId="11" borderId="109" xfId="0" applyNumberFormat="1" applyFont="1" applyFill="1" applyBorder="1" applyAlignment="1">
      <alignment horizontal="center" vertical="center" wrapText="1"/>
    </xf>
    <xf numFmtId="4" fontId="15" fillId="11" borderId="108" xfId="0" applyNumberFormat="1" applyFont="1" applyFill="1" applyBorder="1" applyAlignment="1">
      <alignment horizontal="center" vertical="center" wrapText="1"/>
    </xf>
    <xf numFmtId="4" fontId="15" fillId="11" borderId="91" xfId="0" applyNumberFormat="1" applyFont="1" applyFill="1" applyBorder="1" applyAlignment="1">
      <alignment horizontal="center" vertical="center" wrapText="1"/>
    </xf>
    <xf numFmtId="4" fontId="15" fillId="11" borderId="55" xfId="0" applyNumberFormat="1" applyFont="1" applyFill="1" applyBorder="1" applyAlignment="1">
      <alignment horizontal="center" vertical="center" wrapText="1"/>
    </xf>
    <xf numFmtId="171" fontId="15" fillId="11" borderId="40" xfId="0" applyNumberFormat="1" applyFont="1" applyFill="1" applyBorder="1" applyAlignment="1">
      <alignment horizontal="center" vertical="center"/>
    </xf>
    <xf numFmtId="171" fontId="15" fillId="11" borderId="2" xfId="0" applyNumberFormat="1" applyFont="1" applyFill="1" applyBorder="1" applyAlignment="1">
      <alignment horizontal="center" vertical="center"/>
    </xf>
    <xf numFmtId="4" fontId="15" fillId="11" borderId="49" xfId="0" applyNumberFormat="1" applyFont="1" applyFill="1" applyBorder="1" applyAlignment="1">
      <alignment horizontal="center" vertical="center"/>
    </xf>
    <xf numFmtId="0" fontId="15" fillId="11" borderId="76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 wrapText="1"/>
    </xf>
    <xf numFmtId="166" fontId="15" fillId="11" borderId="91" xfId="0" applyNumberFormat="1" applyFont="1" applyFill="1" applyBorder="1" applyAlignment="1">
      <alignment horizontal="center" vertical="center" wrapText="1"/>
    </xf>
    <xf numFmtId="166" fontId="15" fillId="11" borderId="78" xfId="0" applyNumberFormat="1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4" fontId="27" fillId="10" borderId="58" xfId="0" applyNumberFormat="1" applyFont="1" applyFill="1" applyBorder="1" applyAlignment="1">
      <alignment horizontal="center" vertical="center" wrapText="1"/>
    </xf>
    <xf numFmtId="166" fontId="15" fillId="15" borderId="12" xfId="0" applyNumberFormat="1" applyFont="1" applyFill="1" applyBorder="1" applyAlignment="1">
      <alignment horizontal="center" vertical="center" wrapText="1"/>
    </xf>
    <xf numFmtId="166" fontId="27" fillId="15" borderId="127" xfId="0" applyNumberFormat="1" applyFont="1" applyFill="1" applyBorder="1" applyAlignment="1">
      <alignment horizontal="center" vertical="center" wrapText="1"/>
    </xf>
    <xf numFmtId="166" fontId="27" fillId="15" borderId="13" xfId="0" applyNumberFormat="1" applyFont="1" applyFill="1" applyBorder="1" applyAlignment="1">
      <alignment horizontal="center" vertical="center" wrapText="1"/>
    </xf>
    <xf numFmtId="4" fontId="15" fillId="10" borderId="107" xfId="0" applyNumberFormat="1" applyFont="1" applyFill="1" applyBorder="1" applyAlignment="1">
      <alignment horizontal="center" vertical="center" wrapText="1"/>
    </xf>
    <xf numFmtId="164" fontId="15" fillId="14" borderId="107" xfId="0" applyNumberFormat="1" applyFont="1" applyFill="1" applyBorder="1" applyAlignment="1">
      <alignment horizontal="center" vertical="center" wrapText="1"/>
    </xf>
    <xf numFmtId="164" fontId="15" fillId="14" borderId="127" xfId="0" applyNumberFormat="1" applyFont="1" applyFill="1" applyBorder="1" applyAlignment="1">
      <alignment horizontal="center" vertical="center" wrapText="1"/>
    </xf>
    <xf numFmtId="2" fontId="15" fillId="10" borderId="107" xfId="0" applyNumberFormat="1" applyFont="1" applyFill="1" applyBorder="1" applyAlignment="1">
      <alignment horizontal="center" vertical="center" wrapText="1"/>
    </xf>
    <xf numFmtId="0" fontId="15" fillId="10" borderId="127" xfId="0" applyFont="1" applyFill="1" applyBorder="1" applyAlignment="1">
      <alignment horizontal="center" vertical="center" wrapText="1"/>
    </xf>
    <xf numFmtId="166" fontId="28" fillId="10" borderId="107" xfId="0" applyNumberFormat="1" applyFont="1" applyFill="1" applyBorder="1" applyAlignment="1">
      <alignment horizontal="center" vertical="center" wrapText="1"/>
    </xf>
    <xf numFmtId="166" fontId="28" fillId="10" borderId="104" xfId="0" applyNumberFormat="1" applyFont="1" applyFill="1" applyBorder="1" applyAlignment="1">
      <alignment horizontal="center" vertical="center" wrapText="1"/>
    </xf>
    <xf numFmtId="166" fontId="10" fillId="10" borderId="40" xfId="0" applyNumberFormat="1" applyFont="1" applyFill="1" applyBorder="1" applyAlignment="1">
      <alignment horizontal="center" vertical="center" wrapText="1"/>
    </xf>
    <xf numFmtId="166" fontId="10" fillId="10" borderId="45" xfId="0" applyNumberFormat="1" applyFont="1" applyFill="1" applyBorder="1" applyAlignment="1">
      <alignment horizontal="center" vertical="center" wrapText="1"/>
    </xf>
    <xf numFmtId="166" fontId="11" fillId="10" borderId="107" xfId="0" applyNumberFormat="1" applyFont="1" applyFill="1" applyBorder="1" applyAlignment="1">
      <alignment horizontal="left" vertical="center" wrapText="1"/>
    </xf>
    <xf numFmtId="166" fontId="11" fillId="10" borderId="104" xfId="0" applyNumberFormat="1" applyFont="1" applyFill="1" applyBorder="1" applyAlignment="1">
      <alignment horizontal="left" vertical="center" wrapText="1"/>
    </xf>
    <xf numFmtId="49" fontId="28" fillId="10" borderId="107" xfId="0" applyNumberFormat="1" applyFont="1" applyFill="1" applyBorder="1" applyAlignment="1">
      <alignment horizontal="center" vertical="center" wrapText="1"/>
    </xf>
    <xf numFmtId="49" fontId="28" fillId="10" borderId="104" xfId="0" applyNumberFormat="1" applyFont="1" applyFill="1" applyBorder="1" applyAlignment="1">
      <alignment horizontal="center" vertical="center" wrapText="1"/>
    </xf>
    <xf numFmtId="167" fontId="15" fillId="10" borderId="107" xfId="0" applyNumberFormat="1" applyFont="1" applyFill="1" applyBorder="1" applyAlignment="1">
      <alignment horizontal="center" vertical="center" wrapText="1"/>
    </xf>
    <xf numFmtId="167" fontId="15" fillId="10" borderId="104" xfId="0" applyNumberFormat="1" applyFont="1" applyFill="1" applyBorder="1" applyAlignment="1">
      <alignment horizontal="center" vertical="center" wrapText="1"/>
    </xf>
    <xf numFmtId="166" fontId="18" fillId="10" borderId="8" xfId="0" applyNumberFormat="1" applyFont="1" applyFill="1" applyBorder="1" applyAlignment="1">
      <alignment horizontal="left" vertical="center" wrapText="1"/>
    </xf>
    <xf numFmtId="166" fontId="18" fillId="10" borderId="0" xfId="0" applyNumberFormat="1" applyFont="1" applyFill="1" applyBorder="1" applyAlignment="1">
      <alignment horizontal="left" vertical="center" wrapText="1"/>
    </xf>
    <xf numFmtId="166" fontId="18" fillId="10" borderId="9" xfId="0" applyNumberFormat="1" applyFont="1" applyFill="1" applyBorder="1" applyAlignment="1">
      <alignment horizontal="left" vertical="center" wrapText="1"/>
    </xf>
    <xf numFmtId="165" fontId="15" fillId="14" borderId="12" xfId="9" applyNumberFormat="1" applyFont="1" applyFill="1" applyBorder="1" applyAlignment="1">
      <alignment horizontal="center" vertical="center" wrapText="1"/>
    </xf>
    <xf numFmtId="165" fontId="15" fillId="14" borderId="15" xfId="9" applyNumberFormat="1" applyFont="1" applyFill="1" applyBorder="1" applyAlignment="1">
      <alignment horizontal="center" vertical="center" wrapText="1"/>
    </xf>
    <xf numFmtId="165" fontId="15" fillId="14" borderId="13" xfId="9" applyNumberFormat="1" applyFont="1" applyFill="1" applyBorder="1" applyAlignment="1">
      <alignment horizontal="center" vertical="center" wrapText="1"/>
    </xf>
    <xf numFmtId="0" fontId="15" fillId="10" borderId="94" xfId="0" applyFont="1" applyFill="1" applyBorder="1" applyAlignment="1">
      <alignment horizontal="left" vertical="center" wrapText="1"/>
    </xf>
    <xf numFmtId="165" fontId="15" fillId="10" borderId="77" xfId="0" applyNumberFormat="1" applyFont="1" applyFill="1" applyBorder="1" applyAlignment="1">
      <alignment horizontal="center" vertical="center" wrapText="1"/>
    </xf>
    <xf numFmtId="165" fontId="15" fillId="11" borderId="12" xfId="0" applyNumberFormat="1" applyFont="1" applyFill="1" applyBorder="1" applyAlignment="1">
      <alignment horizontal="center" vertical="center" wrapText="1"/>
    </xf>
    <xf numFmtId="165" fontId="15" fillId="11" borderId="13" xfId="0" applyNumberFormat="1" applyFont="1" applyFill="1" applyBorder="1" applyAlignment="1">
      <alignment horizontal="center" vertical="center" wrapText="1"/>
    </xf>
    <xf numFmtId="0" fontId="15" fillId="11" borderId="84" xfId="0" applyFont="1" applyFill="1" applyBorder="1" applyAlignment="1">
      <alignment horizontal="center" vertical="center" wrapText="1"/>
    </xf>
    <xf numFmtId="0" fontId="15" fillId="11" borderId="86" xfId="0" applyFont="1" applyFill="1" applyBorder="1" applyAlignment="1">
      <alignment horizontal="center" vertical="center" wrapText="1"/>
    </xf>
    <xf numFmtId="167" fontId="15" fillId="14" borderId="12" xfId="9" applyNumberFormat="1" applyFont="1" applyFill="1" applyBorder="1" applyAlignment="1">
      <alignment horizontal="center" vertical="center" wrapText="1"/>
    </xf>
    <xf numFmtId="167" fontId="15" fillId="14" borderId="15" xfId="9" applyNumberFormat="1" applyFont="1" applyFill="1" applyBorder="1" applyAlignment="1">
      <alignment horizontal="center" vertical="center" wrapText="1"/>
    </xf>
    <xf numFmtId="167" fontId="15" fillId="14" borderId="13" xfId="9" applyNumberFormat="1" applyFont="1" applyFill="1" applyBorder="1" applyAlignment="1">
      <alignment horizontal="center" vertical="center" wrapText="1"/>
    </xf>
    <xf numFmtId="0" fontId="15" fillId="11" borderId="76" xfId="0" applyFont="1" applyFill="1" applyBorder="1" applyAlignment="1">
      <alignment horizontal="center" vertical="center" wrapText="1"/>
    </xf>
    <xf numFmtId="0" fontId="15" fillId="11" borderId="37" xfId="0" applyFont="1" applyFill="1" applyBorder="1" applyAlignment="1">
      <alignment horizontal="center" vertical="center" wrapText="1"/>
    </xf>
    <xf numFmtId="166" fontId="18" fillId="10" borderId="82" xfId="0" applyNumberFormat="1" applyFont="1" applyFill="1" applyBorder="1" applyAlignment="1">
      <alignment horizontal="left" vertical="center" wrapText="1"/>
    </xf>
    <xf numFmtId="166" fontId="18" fillId="10" borderId="83" xfId="0" applyNumberFormat="1" applyFont="1" applyFill="1" applyBorder="1" applyAlignment="1">
      <alignment horizontal="left" vertical="center" wrapText="1"/>
    </xf>
    <xf numFmtId="166" fontId="18" fillId="10" borderId="60" xfId="0" applyNumberFormat="1" applyFont="1" applyFill="1" applyBorder="1" applyAlignment="1">
      <alignment horizontal="left" vertical="center" wrapText="1"/>
    </xf>
    <xf numFmtId="167" fontId="15" fillId="10" borderId="89" xfId="0" applyNumberFormat="1" applyFont="1" applyFill="1" applyBorder="1" applyAlignment="1">
      <alignment horizontal="center" vertical="center" wrapText="1"/>
    </xf>
    <xf numFmtId="166" fontId="37" fillId="10" borderId="3" xfId="0" applyNumberFormat="1" applyFont="1" applyFill="1" applyBorder="1" applyAlignment="1">
      <alignment horizontal="left" vertical="center" wrapText="1"/>
    </xf>
    <xf numFmtId="166" fontId="37" fillId="10" borderId="6" xfId="0" applyNumberFormat="1" applyFont="1" applyFill="1" applyBorder="1" applyAlignment="1">
      <alignment horizontal="left" vertical="center" wrapText="1"/>
    </xf>
    <xf numFmtId="166" fontId="37" fillId="10" borderId="7" xfId="0" applyNumberFormat="1" applyFont="1" applyFill="1" applyBorder="1" applyAlignment="1">
      <alignment horizontal="left" vertical="center" wrapText="1"/>
    </xf>
    <xf numFmtId="3" fontId="27" fillId="10" borderId="107" xfId="0" applyNumberFormat="1" applyFont="1" applyFill="1" applyBorder="1" applyAlignment="1">
      <alignment horizontal="center" vertical="center" wrapText="1"/>
    </xf>
    <xf numFmtId="166" fontId="27" fillId="10" borderId="60" xfId="0" applyNumberFormat="1" applyFont="1" applyFill="1" applyBorder="1" applyAlignment="1">
      <alignment horizontal="center" vertical="center" wrapText="1"/>
    </xf>
    <xf numFmtId="166" fontId="27" fillId="10" borderId="9" xfId="0" applyNumberFormat="1" applyFont="1" applyFill="1" applyBorder="1" applyAlignment="1">
      <alignment horizontal="center" vertical="center" wrapText="1"/>
    </xf>
    <xf numFmtId="166" fontId="27" fillId="10" borderId="61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0" fontId="4" fillId="10" borderId="21" xfId="6" applyFont="1" applyFill="1" applyBorder="1" applyAlignment="1">
      <alignment horizontal="center" vertical="center"/>
    </xf>
    <xf numFmtId="0" fontId="4" fillId="10" borderId="92" xfId="6" applyFont="1" applyFill="1" applyBorder="1" applyAlignment="1">
      <alignment horizontal="center" vertical="center"/>
    </xf>
    <xf numFmtId="3" fontId="14" fillId="10" borderId="12" xfId="0" applyNumberFormat="1" applyFont="1" applyFill="1" applyBorder="1" applyAlignment="1">
      <alignment horizontal="center" vertical="center" wrapText="1"/>
    </xf>
    <xf numFmtId="3" fontId="14" fillId="10" borderId="13" xfId="0" applyNumberFormat="1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/>
    </xf>
    <xf numFmtId="166" fontId="15" fillId="10" borderId="118" xfId="0" applyNumberFormat="1" applyFont="1" applyFill="1" applyBorder="1" applyAlignment="1">
      <alignment horizontal="left" vertical="center" wrapText="1"/>
    </xf>
    <xf numFmtId="166" fontId="15" fillId="10" borderId="119" xfId="0" applyNumberFormat="1" applyFont="1" applyFill="1" applyBorder="1" applyAlignment="1">
      <alignment horizontal="left" vertical="center" wrapText="1"/>
    </xf>
    <xf numFmtId="3" fontId="15" fillId="11" borderId="118" xfId="0" applyNumberFormat="1" applyFont="1" applyFill="1" applyBorder="1" applyAlignment="1">
      <alignment horizontal="center" vertical="center" wrapText="1"/>
    </xf>
    <xf numFmtId="3" fontId="15" fillId="11" borderId="93" xfId="0" applyNumberFormat="1" applyFont="1" applyFill="1" applyBorder="1" applyAlignment="1">
      <alignment horizontal="center" vertical="center" wrapText="1"/>
    </xf>
    <xf numFmtId="3" fontId="15" fillId="11" borderId="119" xfId="0" applyNumberFormat="1" applyFont="1" applyFill="1" applyBorder="1" applyAlignment="1">
      <alignment horizontal="center" vertical="center" wrapText="1"/>
    </xf>
    <xf numFmtId="3" fontId="15" fillId="11" borderId="105" xfId="0" applyNumberFormat="1" applyFont="1" applyFill="1" applyBorder="1" applyAlignment="1">
      <alignment horizontal="center" vertical="center" wrapText="1"/>
    </xf>
    <xf numFmtId="3" fontId="15" fillId="11" borderId="120" xfId="0" applyNumberFormat="1" applyFont="1" applyFill="1" applyBorder="1" applyAlignment="1">
      <alignment horizontal="center" vertical="center" wrapText="1"/>
    </xf>
    <xf numFmtId="3" fontId="15" fillId="11" borderId="106" xfId="0" applyNumberFormat="1" applyFont="1" applyFill="1" applyBorder="1" applyAlignment="1">
      <alignment horizontal="center" vertical="center" wrapText="1"/>
    </xf>
    <xf numFmtId="0" fontId="6" fillId="11" borderId="86" xfId="0" applyFont="1" applyFill="1" applyBorder="1" applyAlignment="1">
      <alignment horizontal="center" vertical="center"/>
    </xf>
    <xf numFmtId="166" fontId="15" fillId="11" borderId="118" xfId="0" applyNumberFormat="1" applyFont="1" applyFill="1" applyBorder="1" applyAlignment="1">
      <alignment horizontal="center" vertical="center" wrapText="1"/>
    </xf>
    <xf numFmtId="3" fontId="15" fillId="11" borderId="107" xfId="0" applyNumberFormat="1" applyFont="1" applyFill="1" applyBorder="1" applyAlignment="1">
      <alignment horizontal="center" vertical="center"/>
    </xf>
    <xf numFmtId="3" fontId="15" fillId="11" borderId="93" xfId="0" applyNumberFormat="1" applyFont="1" applyFill="1" applyBorder="1" applyAlignment="1">
      <alignment horizontal="center" vertical="center"/>
    </xf>
    <xf numFmtId="3" fontId="15" fillId="11" borderId="13" xfId="0" applyNumberFormat="1" applyFont="1" applyFill="1" applyBorder="1" applyAlignment="1">
      <alignment horizontal="center" vertical="center"/>
    </xf>
    <xf numFmtId="167" fontId="15" fillId="11" borderId="12" xfId="0" applyNumberFormat="1" applyFont="1" applyFill="1" applyBorder="1" applyAlignment="1">
      <alignment horizontal="center" vertical="center" wrapText="1"/>
    </xf>
    <xf numFmtId="167" fontId="15" fillId="11" borderId="13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4" fillId="10" borderId="12" xfId="6" applyFont="1" applyFill="1" applyBorder="1" applyAlignment="1">
      <alignment horizontal="center" vertical="center"/>
    </xf>
    <xf numFmtId="0" fontId="4" fillId="10" borderId="13" xfId="6" applyFont="1" applyFill="1" applyBorder="1" applyAlignment="1">
      <alignment horizontal="center" vertical="center"/>
    </xf>
    <xf numFmtId="0" fontId="15" fillId="10" borderId="52" xfId="0" applyFont="1" applyFill="1" applyBorder="1" applyAlignment="1">
      <alignment horizontal="center" vertical="center" wrapText="1"/>
    </xf>
    <xf numFmtId="49" fontId="15" fillId="11" borderId="107" xfId="0" applyNumberFormat="1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 wrapText="1"/>
    </xf>
    <xf numFmtId="0" fontId="11" fillId="11" borderId="13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2" fontId="15" fillId="10" borderId="27" xfId="6" applyNumberFormat="1" applyFont="1" applyFill="1" applyBorder="1" applyAlignment="1">
      <alignment horizontal="center" vertical="center"/>
    </xf>
    <xf numFmtId="2" fontId="15" fillId="10" borderId="97" xfId="6" applyNumberFormat="1" applyFont="1" applyFill="1" applyBorder="1" applyAlignment="1">
      <alignment horizontal="center" vertical="center"/>
    </xf>
    <xf numFmtId="0" fontId="4" fillId="10" borderId="12" xfId="6" applyFont="1" applyFill="1" applyBorder="1" applyAlignment="1">
      <alignment horizontal="center" vertical="center" wrapText="1"/>
    </xf>
    <xf numFmtId="0" fontId="4" fillId="10" borderId="13" xfId="6" applyFont="1" applyFill="1" applyBorder="1" applyAlignment="1">
      <alignment horizontal="center" vertical="center" wrapText="1"/>
    </xf>
    <xf numFmtId="0" fontId="6" fillId="10" borderId="12" xfId="6" applyFont="1" applyFill="1" applyBorder="1" applyAlignment="1">
      <alignment horizontal="center" vertical="center" wrapText="1"/>
    </xf>
    <xf numFmtId="0" fontId="6" fillId="10" borderId="13" xfId="6" applyFont="1" applyFill="1" applyBorder="1" applyAlignment="1">
      <alignment horizontal="center" vertical="center" wrapText="1"/>
    </xf>
    <xf numFmtId="0" fontId="6" fillId="10" borderId="12" xfId="6" applyFont="1" applyFill="1" applyBorder="1" applyAlignment="1">
      <alignment horizontal="center" vertical="center"/>
    </xf>
    <xf numFmtId="0" fontId="6" fillId="10" borderId="13" xfId="6" applyFont="1" applyFill="1" applyBorder="1" applyAlignment="1">
      <alignment horizontal="center" vertical="center"/>
    </xf>
    <xf numFmtId="165" fontId="15" fillId="10" borderId="4" xfId="0" applyNumberFormat="1" applyFont="1" applyFill="1" applyBorder="1" applyAlignment="1">
      <alignment horizontal="center" vertical="center" wrapText="1"/>
    </xf>
    <xf numFmtId="173" fontId="4" fillId="10" borderId="104" xfId="0" applyNumberFormat="1" applyFont="1" applyFill="1" applyBorder="1" applyAlignment="1">
      <alignment horizontal="center" vertical="center" wrapText="1"/>
    </xf>
    <xf numFmtId="173" fontId="4" fillId="10" borderId="2" xfId="0" applyNumberFormat="1" applyFont="1" applyFill="1" applyBorder="1" applyAlignment="1">
      <alignment horizontal="center" vertical="center" wrapText="1"/>
    </xf>
    <xf numFmtId="3" fontId="15" fillId="11" borderId="9" xfId="0" applyNumberFormat="1" applyFont="1" applyFill="1" applyBorder="1" applyAlignment="1">
      <alignment horizontal="center" vertical="center" wrapText="1"/>
    </xf>
    <xf numFmtId="3" fontId="15" fillId="11" borderId="11" xfId="0" applyNumberFormat="1" applyFont="1" applyFill="1" applyBorder="1" applyAlignment="1">
      <alignment horizontal="center" vertical="center" wrapText="1"/>
    </xf>
    <xf numFmtId="2" fontId="6" fillId="10" borderId="17" xfId="6" applyNumberFormat="1" applyFont="1" applyFill="1" applyBorder="1" applyAlignment="1">
      <alignment horizontal="center" vertical="center" wrapText="1"/>
    </xf>
    <xf numFmtId="2" fontId="6" fillId="10" borderId="122" xfId="6" applyNumberFormat="1" applyFont="1" applyFill="1" applyBorder="1" applyAlignment="1">
      <alignment horizontal="center" vertical="center" wrapText="1"/>
    </xf>
    <xf numFmtId="2" fontId="6" fillId="10" borderId="21" xfId="6" applyNumberFormat="1" applyFont="1" applyFill="1" applyBorder="1" applyAlignment="1">
      <alignment horizontal="center" vertical="center" wrapText="1"/>
    </xf>
    <xf numFmtId="2" fontId="6" fillId="10" borderId="29" xfId="6" applyNumberFormat="1" applyFont="1" applyFill="1" applyBorder="1" applyAlignment="1">
      <alignment horizontal="center" vertical="center" wrapText="1"/>
    </xf>
    <xf numFmtId="2" fontId="4" fillId="10" borderId="27" xfId="6" applyNumberFormat="1" applyFont="1" applyFill="1" applyBorder="1" applyAlignment="1">
      <alignment horizontal="center" vertical="center"/>
    </xf>
    <xf numFmtId="2" fontId="4" fillId="10" borderId="125" xfId="6" applyNumberFormat="1" applyFont="1" applyFill="1" applyBorder="1" applyAlignment="1">
      <alignment horizontal="center" vertical="center"/>
    </xf>
    <xf numFmtId="0" fontId="4" fillId="10" borderId="66" xfId="6" applyFont="1" applyFill="1" applyBorder="1" applyAlignment="1">
      <alignment horizontal="center" vertical="center" wrapText="1"/>
    </xf>
    <xf numFmtId="3" fontId="17" fillId="11" borderId="12" xfId="0" applyNumberFormat="1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0" fontId="4" fillId="10" borderId="2" xfId="6" applyFont="1" applyFill="1" applyBorder="1" applyAlignment="1">
      <alignment horizontal="center" vertical="center" wrapText="1"/>
    </xf>
    <xf numFmtId="2" fontId="4" fillId="10" borderId="2" xfId="6" applyNumberFormat="1" applyFont="1" applyFill="1" applyBorder="1" applyAlignment="1">
      <alignment horizontal="center" vertical="center"/>
    </xf>
    <xf numFmtId="2" fontId="15" fillId="11" borderId="118" xfId="0" applyNumberFormat="1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2" fontId="15" fillId="11" borderId="119" xfId="0" applyNumberFormat="1" applyFont="1" applyFill="1" applyBorder="1" applyAlignment="1">
      <alignment horizontal="center" vertical="center" wrapText="1"/>
    </xf>
    <xf numFmtId="0" fontId="15" fillId="10" borderId="118" xfId="2" applyFont="1" applyFill="1" applyBorder="1" applyAlignment="1">
      <alignment horizontal="center" vertical="center" wrapText="1"/>
    </xf>
    <xf numFmtId="0" fontId="15" fillId="10" borderId="119" xfId="2" applyFont="1" applyFill="1" applyBorder="1" applyAlignment="1">
      <alignment horizontal="center" vertical="center" wrapText="1"/>
    </xf>
    <xf numFmtId="0" fontId="15" fillId="10" borderId="127" xfId="2" applyFont="1" applyFill="1" applyBorder="1" applyAlignment="1">
      <alignment horizontal="center" vertical="center" wrapText="1"/>
    </xf>
    <xf numFmtId="164" fontId="15" fillId="11" borderId="118" xfId="0" applyNumberFormat="1" applyFont="1" applyFill="1" applyBorder="1" applyAlignment="1">
      <alignment horizontal="center" vertical="center" wrapText="1"/>
    </xf>
    <xf numFmtId="164" fontId="15" fillId="11" borderId="127" xfId="0" applyNumberFormat="1" applyFont="1" applyFill="1" applyBorder="1" applyAlignment="1">
      <alignment horizontal="center" vertical="center" wrapText="1"/>
    </xf>
    <xf numFmtId="164" fontId="15" fillId="11" borderId="119" xfId="0" applyNumberFormat="1" applyFont="1" applyFill="1" applyBorder="1" applyAlignment="1">
      <alignment horizontal="center" vertical="center" wrapText="1"/>
    </xf>
    <xf numFmtId="2" fontId="15" fillId="11" borderId="127" xfId="0" applyNumberFormat="1" applyFont="1" applyFill="1" applyBorder="1" applyAlignment="1">
      <alignment horizontal="center" vertical="center" wrapText="1"/>
    </xf>
    <xf numFmtId="165" fontId="15" fillId="10" borderId="127" xfId="0" applyNumberFormat="1" applyFont="1" applyFill="1" applyBorder="1" applyAlignment="1">
      <alignment horizontal="center" vertical="center" wrapText="1"/>
    </xf>
    <xf numFmtId="167" fontId="15" fillId="10" borderId="118" xfId="0" applyNumberFormat="1" applyFont="1" applyFill="1" applyBorder="1" applyAlignment="1">
      <alignment horizontal="center" vertical="center" wrapText="1"/>
    </xf>
    <xf numFmtId="167" fontId="15" fillId="10" borderId="127" xfId="0" applyNumberFormat="1" applyFont="1" applyFill="1" applyBorder="1" applyAlignment="1">
      <alignment horizontal="center" vertical="center" wrapText="1"/>
    </xf>
    <xf numFmtId="167" fontId="15" fillId="10" borderId="119" xfId="0" applyNumberFormat="1" applyFont="1" applyFill="1" applyBorder="1" applyAlignment="1">
      <alignment horizontal="center" vertical="center" wrapText="1"/>
    </xf>
    <xf numFmtId="166" fontId="28" fillId="10" borderId="118" xfId="0" applyNumberFormat="1" applyFont="1" applyFill="1" applyBorder="1" applyAlignment="1">
      <alignment horizontal="center" vertical="center" wrapText="1"/>
    </xf>
    <xf numFmtId="166" fontId="28" fillId="10" borderId="127" xfId="0" applyNumberFormat="1" applyFont="1" applyFill="1" applyBorder="1" applyAlignment="1">
      <alignment horizontal="center" vertical="center" wrapText="1"/>
    </xf>
    <xf numFmtId="166" fontId="28" fillId="10" borderId="119" xfId="0" applyNumberFormat="1" applyFont="1" applyFill="1" applyBorder="1" applyAlignment="1">
      <alignment horizontal="center" vertical="center" wrapText="1"/>
    </xf>
    <xf numFmtId="166" fontId="28" fillId="10" borderId="73" xfId="0" applyNumberFormat="1" applyFont="1" applyFill="1" applyBorder="1" applyAlignment="1">
      <alignment horizontal="center" vertical="center" wrapText="1"/>
    </xf>
    <xf numFmtId="166" fontId="28" fillId="10" borderId="79" xfId="0" applyNumberFormat="1" applyFont="1" applyFill="1" applyBorder="1" applyAlignment="1">
      <alignment horizontal="center" vertical="center" wrapText="1"/>
    </xf>
    <xf numFmtId="3" fontId="15" fillId="10" borderId="60" xfId="0" applyNumberFormat="1" applyFont="1" applyFill="1" applyBorder="1" applyAlignment="1">
      <alignment horizontal="center" vertical="center" wrapText="1"/>
    </xf>
    <xf numFmtId="3" fontId="15" fillId="10" borderId="9" xfId="0" applyNumberFormat="1" applyFont="1" applyFill="1" applyBorder="1" applyAlignment="1">
      <alignment horizontal="center" vertical="center" wrapText="1"/>
    </xf>
    <xf numFmtId="3" fontId="15" fillId="10" borderId="61" xfId="0" applyNumberFormat="1" applyFont="1" applyFill="1" applyBorder="1" applyAlignment="1">
      <alignment horizontal="center" vertical="center" wrapText="1"/>
    </xf>
    <xf numFmtId="3" fontId="15" fillId="10" borderId="105" xfId="0" applyNumberFormat="1" applyFont="1" applyFill="1" applyBorder="1" applyAlignment="1">
      <alignment horizontal="center" vertical="center" wrapText="1"/>
    </xf>
    <xf numFmtId="3" fontId="15" fillId="10" borderId="106" xfId="0" applyNumberFormat="1" applyFont="1" applyFill="1" applyBorder="1" applyAlignment="1">
      <alignment horizontal="center" vertical="center" wrapText="1"/>
    </xf>
    <xf numFmtId="3" fontId="15" fillId="10" borderId="11" xfId="0" applyNumberFormat="1" applyFont="1" applyFill="1" applyBorder="1" applyAlignment="1">
      <alignment horizontal="center" vertical="center" wrapText="1"/>
    </xf>
    <xf numFmtId="3" fontId="15" fillId="10" borderId="107" xfId="0" applyNumberFormat="1" applyFont="1" applyFill="1" applyBorder="1" applyAlignment="1">
      <alignment horizontal="center" vertical="center" wrapText="1"/>
    </xf>
    <xf numFmtId="3" fontId="15" fillId="10" borderId="127" xfId="0" applyNumberFormat="1" applyFont="1" applyFill="1" applyBorder="1" applyAlignment="1">
      <alignment horizontal="center" vertical="center" wrapText="1"/>
    </xf>
    <xf numFmtId="3" fontId="15" fillId="10" borderId="127" xfId="0" applyNumberFormat="1" applyFont="1" applyFill="1" applyBorder="1" applyAlignment="1">
      <alignment horizontal="center" vertical="center"/>
    </xf>
    <xf numFmtId="3" fontId="4" fillId="11" borderId="107" xfId="0" applyNumberFormat="1" applyFont="1" applyFill="1" applyBorder="1" applyAlignment="1">
      <alignment horizontal="center" vertical="center" wrapText="1"/>
    </xf>
    <xf numFmtId="2" fontId="6" fillId="10" borderId="12" xfId="6" applyNumberFormat="1" applyFont="1" applyFill="1" applyBorder="1" applyAlignment="1">
      <alignment horizontal="center" vertical="center" wrapText="1"/>
    </xf>
    <xf numFmtId="0" fontId="6" fillId="10" borderId="95" xfId="6" applyFont="1" applyFill="1" applyBorder="1" applyAlignment="1">
      <alignment horizontal="center" vertical="center" wrapText="1"/>
    </xf>
    <xf numFmtId="0" fontId="6" fillId="10" borderId="114" xfId="6" applyFont="1" applyFill="1" applyBorder="1" applyAlignment="1">
      <alignment horizontal="center" vertical="center" wrapText="1"/>
    </xf>
    <xf numFmtId="164" fontId="19" fillId="10" borderId="86" xfId="0" applyNumberFormat="1" applyFont="1" applyFill="1" applyBorder="1" applyAlignment="1">
      <alignment horizontal="center" vertical="center" wrapText="1"/>
    </xf>
    <xf numFmtId="171" fontId="12" fillId="2" borderId="2" xfId="0" applyNumberFormat="1" applyFont="1" applyFill="1" applyBorder="1" applyAlignment="1">
      <alignment vertical="center"/>
    </xf>
    <xf numFmtId="171" fontId="25" fillId="11" borderId="2" xfId="0" applyNumberFormat="1" applyFont="1" applyFill="1" applyBorder="1" applyAlignment="1">
      <alignment vertical="center"/>
    </xf>
    <xf numFmtId="166" fontId="48" fillId="10" borderId="123" xfId="0" applyNumberFormat="1" applyFont="1" applyFill="1" applyBorder="1" applyAlignment="1">
      <alignment horizontal="center" vertical="center" wrapText="1"/>
    </xf>
    <xf numFmtId="2" fontId="49" fillId="10" borderId="123" xfId="0" applyNumberFormat="1" applyFont="1" applyFill="1" applyBorder="1" applyAlignment="1">
      <alignment horizontal="center" vertical="center" wrapText="1"/>
    </xf>
    <xf numFmtId="0" fontId="49" fillId="10" borderId="123" xfId="0" applyFont="1" applyFill="1" applyBorder="1" applyAlignment="1">
      <alignment horizontal="center" vertical="center" wrapText="1"/>
    </xf>
    <xf numFmtId="0" fontId="48" fillId="10" borderId="123" xfId="0" applyFont="1" applyFill="1" applyBorder="1" applyAlignment="1">
      <alignment horizontal="center" vertical="center" wrapText="1"/>
    </xf>
    <xf numFmtId="0" fontId="48" fillId="10" borderId="2" xfId="0" applyFont="1" applyFill="1" applyBorder="1" applyAlignment="1">
      <alignment horizontal="center" vertical="center" wrapText="1"/>
    </xf>
    <xf numFmtId="0" fontId="49" fillId="10" borderId="2" xfId="0" applyFont="1" applyFill="1" applyBorder="1" applyAlignment="1">
      <alignment horizontal="center" vertical="center" wrapText="1"/>
    </xf>
    <xf numFmtId="166" fontId="27" fillId="10" borderId="42" xfId="0" applyNumberFormat="1" applyFont="1" applyFill="1" applyBorder="1" applyAlignment="1">
      <alignment horizontal="center" vertical="center" wrapText="1"/>
    </xf>
    <xf numFmtId="166" fontId="10" fillId="10" borderId="40" xfId="0" applyNumberFormat="1" applyFont="1" applyFill="1" applyBorder="1" applyAlignment="1">
      <alignment horizontal="left" vertical="center" wrapText="1"/>
    </xf>
    <xf numFmtId="4" fontId="27" fillId="10" borderId="15" xfId="0" applyNumberFormat="1" applyFont="1" applyFill="1" applyBorder="1" applyAlignment="1">
      <alignment horizontal="center" vertical="center" wrapText="1"/>
    </xf>
    <xf numFmtId="3" fontId="15" fillId="10" borderId="104" xfId="0" applyNumberFormat="1" applyFont="1" applyFill="1" applyBorder="1" applyAlignment="1">
      <alignment horizontal="center" vertical="center" wrapText="1"/>
    </xf>
    <xf numFmtId="0" fontId="11" fillId="11" borderId="107" xfId="0" applyFont="1" applyFill="1" applyBorder="1" applyAlignment="1">
      <alignment horizontal="left" vertical="center" wrapText="1"/>
    </xf>
    <xf numFmtId="0" fontId="11" fillId="11" borderId="123" xfId="0" applyFont="1" applyFill="1" applyBorder="1" applyAlignment="1">
      <alignment horizontal="left" vertical="center" wrapText="1"/>
    </xf>
    <xf numFmtId="166" fontId="48" fillId="10" borderId="13" xfId="0" applyNumberFormat="1" applyFont="1" applyFill="1" applyBorder="1" applyAlignment="1">
      <alignment horizontal="center" vertical="center" wrapText="1"/>
    </xf>
    <xf numFmtId="2" fontId="49" fillId="10" borderId="13" xfId="0" applyNumberFormat="1" applyFont="1" applyFill="1" applyBorder="1" applyAlignment="1">
      <alignment horizontal="center" vertical="center" wrapText="1"/>
    </xf>
    <xf numFmtId="2" fontId="15" fillId="11" borderId="41" xfId="0" applyNumberFormat="1" applyFont="1" applyFill="1" applyBorder="1" applyAlignment="1">
      <alignment horizontal="center" vertical="center" wrapText="1"/>
    </xf>
    <xf numFmtId="2" fontId="15" fillId="11" borderId="42" xfId="0" applyNumberFormat="1" applyFont="1" applyFill="1" applyBorder="1" applyAlignment="1">
      <alignment horizontal="center" vertical="center" wrapText="1"/>
    </xf>
    <xf numFmtId="166" fontId="27" fillId="10" borderId="3" xfId="0" applyNumberFormat="1" applyFont="1" applyFill="1" applyBorder="1" applyAlignment="1">
      <alignment horizontal="center" vertical="center" wrapText="1"/>
    </xf>
    <xf numFmtId="2" fontId="15" fillId="10" borderId="75" xfId="0" applyNumberFormat="1" applyFont="1" applyFill="1" applyBorder="1" applyAlignment="1">
      <alignment horizontal="center" vertical="center" wrapText="1"/>
    </xf>
    <xf numFmtId="2" fontId="15" fillId="10" borderId="50" xfId="0" applyNumberFormat="1" applyFont="1" applyFill="1" applyBorder="1" applyAlignment="1">
      <alignment horizontal="center" vertical="center" wrapText="1"/>
    </xf>
    <xf numFmtId="166" fontId="27" fillId="10" borderId="103" xfId="0" applyNumberFormat="1" applyFont="1" applyFill="1" applyBorder="1" applyAlignment="1">
      <alignment horizontal="center" vertical="center" wrapText="1"/>
    </xf>
    <xf numFmtId="166" fontId="15" fillId="10" borderId="106" xfId="0" applyNumberFormat="1" applyFont="1" applyFill="1" applyBorder="1" applyAlignment="1">
      <alignment horizontal="center" vertical="center" wrapText="1"/>
    </xf>
    <xf numFmtId="4" fontId="27" fillId="10" borderId="88" xfId="0" applyNumberFormat="1" applyFont="1" applyFill="1" applyBorder="1" applyAlignment="1">
      <alignment horizontal="center" vertical="center" wrapText="1"/>
    </xf>
    <xf numFmtId="166" fontId="27" fillId="10" borderId="93" xfId="0" applyNumberFormat="1" applyFont="1" applyFill="1" applyBorder="1" applyAlignment="1">
      <alignment horizontal="center" vertical="center" wrapText="1"/>
    </xf>
    <xf numFmtId="166" fontId="15" fillId="10" borderId="120" xfId="0" applyNumberFormat="1" applyFont="1" applyFill="1" applyBorder="1" applyAlignment="1">
      <alignment horizontal="center" vertical="center" wrapText="1"/>
    </xf>
    <xf numFmtId="2" fontId="15" fillId="11" borderId="54" xfId="0" applyNumberFormat="1" applyFont="1" applyFill="1" applyBorder="1" applyAlignment="1">
      <alignment horizontal="center" vertical="center" wrapText="1"/>
    </xf>
    <xf numFmtId="2" fontId="15" fillId="11" borderId="57" xfId="0" applyNumberFormat="1" applyFont="1" applyFill="1" applyBorder="1" applyAlignment="1">
      <alignment horizontal="center" vertical="center" wrapText="1"/>
    </xf>
    <xf numFmtId="4" fontId="15" fillId="11" borderId="107" xfId="0" applyNumberFormat="1" applyFont="1" applyFill="1" applyBorder="1" applyAlignment="1">
      <alignment vertical="center"/>
    </xf>
    <xf numFmtId="2" fontId="15" fillId="11" borderId="12" xfId="0" applyNumberFormat="1" applyFont="1" applyFill="1" applyBorder="1" applyAlignment="1">
      <alignment horizontal="center" vertical="center" wrapText="1"/>
    </xf>
    <xf numFmtId="2" fontId="15" fillId="11" borderId="93" xfId="0" applyNumberFormat="1" applyFont="1" applyFill="1" applyBorder="1" applyAlignment="1">
      <alignment horizontal="center" vertical="center" wrapText="1"/>
    </xf>
    <xf numFmtId="4" fontId="11" fillId="11" borderId="2" xfId="0" applyNumberFormat="1" applyFont="1" applyFill="1" applyBorder="1" applyAlignment="1">
      <alignment vertical="center" wrapText="1"/>
    </xf>
    <xf numFmtId="4" fontId="30" fillId="10" borderId="12" xfId="0" applyNumberFormat="1" applyFont="1" applyFill="1" applyBorder="1" applyAlignment="1">
      <alignment horizontal="center" vertical="center" wrapText="1"/>
    </xf>
    <xf numFmtId="4" fontId="30" fillId="10" borderId="13" xfId="0" applyNumberFormat="1" applyFont="1" applyFill="1" applyBorder="1" applyAlignment="1">
      <alignment horizontal="center" vertical="center" wrapText="1"/>
    </xf>
    <xf numFmtId="173" fontId="11" fillId="10" borderId="12" xfId="0" applyNumberFormat="1" applyFont="1" applyFill="1" applyBorder="1" applyAlignment="1">
      <alignment horizontal="center" vertical="center" wrapText="1"/>
    </xf>
    <xf numFmtId="173" fontId="11" fillId="10" borderId="13" xfId="0" applyNumberFormat="1" applyFont="1" applyFill="1" applyBorder="1" applyAlignment="1">
      <alignment horizontal="center" vertical="center" wrapText="1"/>
    </xf>
    <xf numFmtId="173" fontId="30" fillId="10" borderId="12" xfId="0" applyNumberFormat="1" applyFont="1" applyFill="1" applyBorder="1" applyAlignment="1">
      <alignment horizontal="center" vertical="center" wrapText="1"/>
    </xf>
    <xf numFmtId="173" fontId="30" fillId="10" borderId="13" xfId="0" applyNumberFormat="1" applyFont="1" applyFill="1" applyBorder="1" applyAlignment="1">
      <alignment horizontal="center" vertical="center" wrapText="1"/>
    </xf>
    <xf numFmtId="173" fontId="6" fillId="10" borderId="2" xfId="0" applyNumberFormat="1" applyFont="1" applyFill="1" applyBorder="1" applyAlignment="1">
      <alignment horizontal="center" vertical="center" wrapText="1"/>
    </xf>
    <xf numFmtId="173" fontId="30" fillId="10" borderId="2" xfId="0" applyNumberFormat="1" applyFont="1" applyFill="1" applyBorder="1" applyAlignment="1">
      <alignment horizontal="center" vertical="center" wrapText="1"/>
    </xf>
    <xf numFmtId="173" fontId="30" fillId="10" borderId="12" xfId="0" applyNumberFormat="1" applyFont="1" applyFill="1" applyBorder="1" applyAlignment="1">
      <alignment horizontal="center" vertical="center" wrapText="1"/>
    </xf>
    <xf numFmtId="166" fontId="15" fillId="10" borderId="3" xfId="0" applyNumberFormat="1" applyFont="1" applyFill="1" applyBorder="1" applyAlignment="1">
      <alignment horizontal="center" vertical="center" wrapText="1"/>
    </xf>
    <xf numFmtId="4" fontId="20" fillId="10" borderId="2" xfId="0" applyNumberFormat="1" applyFont="1" applyFill="1" applyBorder="1" applyAlignment="1">
      <alignment horizontal="center" vertical="center"/>
    </xf>
    <xf numFmtId="4" fontId="20" fillId="10" borderId="12" xfId="0" applyNumberFormat="1" applyFont="1" applyFill="1" applyBorder="1" applyAlignment="1">
      <alignment horizontal="center" vertical="center"/>
    </xf>
    <xf numFmtId="164" fontId="19" fillId="11" borderId="40" xfId="0" applyNumberFormat="1" applyFont="1" applyFill="1" applyBorder="1" applyAlignment="1">
      <alignment horizontal="center" vertical="center"/>
    </xf>
    <xf numFmtId="2" fontId="15" fillId="11" borderId="110" xfId="0" applyNumberFormat="1" applyFont="1" applyFill="1" applyBorder="1" applyAlignment="1">
      <alignment horizontal="center" vertical="center"/>
    </xf>
    <xf numFmtId="2" fontId="15" fillId="11" borderId="91" xfId="0" applyNumberFormat="1" applyFont="1" applyFill="1" applyBorder="1" applyAlignment="1">
      <alignment horizontal="center" vertical="center"/>
    </xf>
    <xf numFmtId="2" fontId="20" fillId="10" borderId="91" xfId="0" applyNumberFormat="1" applyFont="1" applyFill="1" applyBorder="1" applyAlignment="1">
      <alignment horizontal="center" vertical="center"/>
    </xf>
    <xf numFmtId="2" fontId="20" fillId="10" borderId="88" xfId="0" applyNumberFormat="1" applyFont="1" applyFill="1" applyBorder="1" applyAlignment="1">
      <alignment horizontal="center" vertical="center"/>
    </xf>
    <xf numFmtId="2" fontId="20" fillId="10" borderId="103" xfId="0" applyNumberFormat="1" applyFont="1" applyFill="1" applyBorder="1" applyAlignment="1">
      <alignment horizontal="center" vertical="center"/>
    </xf>
    <xf numFmtId="2" fontId="0" fillId="10" borderId="2" xfId="0" applyNumberFormat="1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left" vertical="center" wrapText="1"/>
    </xf>
    <xf numFmtId="164" fontId="6" fillId="10" borderId="2" xfId="0" applyNumberFormat="1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horizontal="center" vertical="center" wrapText="1"/>
    </xf>
    <xf numFmtId="1" fontId="15" fillId="10" borderId="40" xfId="0" applyNumberFormat="1" applyFont="1" applyFill="1" applyBorder="1" applyAlignment="1">
      <alignment horizontal="center" vertical="center"/>
    </xf>
    <xf numFmtId="1" fontId="15" fillId="10" borderId="45" xfId="0" applyNumberFormat="1" applyFont="1" applyFill="1" applyBorder="1" applyAlignment="1">
      <alignment horizontal="center" vertical="center"/>
    </xf>
    <xf numFmtId="166" fontId="19" fillId="10" borderId="12" xfId="0" applyNumberFormat="1" applyFont="1" applyFill="1" applyBorder="1" applyAlignment="1">
      <alignment horizontal="center" vertical="center" wrapText="1"/>
    </xf>
    <xf numFmtId="166" fontId="19" fillId="10" borderId="104" xfId="0" applyNumberFormat="1" applyFont="1" applyFill="1" applyBorder="1" applyAlignment="1">
      <alignment horizontal="center" vertical="center" wrapText="1"/>
    </xf>
    <xf numFmtId="173" fontId="19" fillId="10" borderId="2" xfId="0" applyNumberFormat="1" applyFont="1" applyFill="1" applyBorder="1" applyAlignment="1">
      <alignment horizontal="center" vertical="center" wrapText="1"/>
    </xf>
    <xf numFmtId="173" fontId="4" fillId="10" borderId="107" xfId="0" applyNumberFormat="1" applyFont="1" applyFill="1" applyBorder="1" applyAlignment="1">
      <alignment horizontal="center" vertical="center" wrapText="1"/>
    </xf>
    <xf numFmtId="2" fontId="4" fillId="10" borderId="112" xfId="6" applyNumberFormat="1" applyFont="1" applyFill="1" applyBorder="1" applyAlignment="1">
      <alignment horizontal="center" vertical="center" wrapText="1"/>
    </xf>
    <xf numFmtId="2" fontId="4" fillId="10" borderId="113" xfId="6" applyNumberFormat="1" applyFont="1" applyFill="1" applyBorder="1" applyAlignment="1">
      <alignment horizontal="center" vertical="center" wrapText="1"/>
    </xf>
    <xf numFmtId="2" fontId="15" fillId="10" borderId="112" xfId="6" applyNumberFormat="1" applyFont="1" applyFill="1" applyBorder="1" applyAlignment="1">
      <alignment horizontal="center" vertical="center" wrapText="1"/>
    </xf>
    <xf numFmtId="2" fontId="15" fillId="10" borderId="113" xfId="6" applyNumberFormat="1" applyFont="1" applyFill="1" applyBorder="1" applyAlignment="1">
      <alignment horizontal="center" vertical="center" wrapText="1"/>
    </xf>
    <xf numFmtId="2" fontId="4" fillId="10" borderId="97" xfId="6" applyNumberFormat="1" applyFont="1" applyFill="1" applyBorder="1" applyAlignment="1">
      <alignment horizontal="center" vertical="center" wrapText="1"/>
    </xf>
    <xf numFmtId="2" fontId="4" fillId="10" borderId="27" xfId="6" applyNumberFormat="1" applyFont="1" applyFill="1" applyBorder="1" applyAlignment="1">
      <alignment horizontal="center" vertical="center" wrapText="1"/>
    </xf>
    <xf numFmtId="164" fontId="19" fillId="10" borderId="17" xfId="6" applyNumberFormat="1" applyFont="1" applyFill="1" applyBorder="1" applyAlignment="1">
      <alignment horizontal="center" vertical="center"/>
    </xf>
    <xf numFmtId="167" fontId="19" fillId="10" borderId="17" xfId="6" applyNumberFormat="1" applyFont="1" applyFill="1" applyBorder="1" applyAlignment="1">
      <alignment horizontal="center" vertical="center"/>
    </xf>
    <xf numFmtId="164" fontId="19" fillId="10" borderId="20" xfId="6" applyNumberFormat="1" applyFont="1" applyFill="1" applyBorder="1" applyAlignment="1">
      <alignment horizontal="center" vertical="center"/>
    </xf>
    <xf numFmtId="167" fontId="19" fillId="10" borderId="20" xfId="6" applyNumberFormat="1" applyFont="1" applyFill="1" applyBorder="1" applyAlignment="1">
      <alignment horizontal="center" vertical="center"/>
    </xf>
    <xf numFmtId="167" fontId="4" fillId="10" borderId="2" xfId="6" applyNumberFormat="1" applyFont="1" applyFill="1" applyBorder="1" applyAlignment="1">
      <alignment horizontal="center" vertical="center"/>
    </xf>
    <xf numFmtId="2" fontId="15" fillId="10" borderId="5" xfId="6" applyNumberFormat="1" applyFont="1" applyFill="1" applyBorder="1" applyAlignment="1">
      <alignment horizontal="center" vertical="center"/>
    </xf>
    <xf numFmtId="4" fontId="19" fillId="11" borderId="111" xfId="0" applyNumberFormat="1" applyFont="1" applyFill="1" applyBorder="1" applyAlignment="1">
      <alignment horizontal="center" vertical="center" wrapText="1"/>
    </xf>
    <xf numFmtId="2" fontId="15" fillId="10" borderId="34" xfId="6" applyNumberFormat="1" applyFont="1" applyFill="1" applyBorder="1" applyAlignment="1">
      <alignment horizontal="center" vertical="center"/>
    </xf>
    <xf numFmtId="4" fontId="19" fillId="11" borderId="34" xfId="0" applyNumberFormat="1" applyFont="1" applyFill="1" applyBorder="1" applyAlignment="1">
      <alignment horizontal="center" vertical="center" wrapText="1"/>
    </xf>
    <xf numFmtId="2" fontId="4" fillId="10" borderId="112" xfId="6" applyNumberFormat="1" applyFont="1" applyFill="1" applyBorder="1" applyAlignment="1">
      <alignment horizontal="center" vertical="center"/>
    </xf>
    <xf numFmtId="2" fontId="4" fillId="10" borderId="113" xfId="6" applyNumberFormat="1" applyFont="1" applyFill="1" applyBorder="1" applyAlignment="1">
      <alignment horizontal="center" vertical="center"/>
    </xf>
    <xf numFmtId="2" fontId="6" fillId="10" borderId="112" xfId="6" applyNumberFormat="1" applyFont="1" applyFill="1" applyBorder="1" applyAlignment="1">
      <alignment horizontal="center" vertical="center"/>
    </xf>
    <xf numFmtId="2" fontId="6" fillId="10" borderId="113" xfId="6" applyNumberFormat="1" applyFont="1" applyFill="1" applyBorder="1" applyAlignment="1">
      <alignment horizontal="center" vertical="center"/>
    </xf>
    <xf numFmtId="2" fontId="6" fillId="10" borderId="123" xfId="6" applyNumberFormat="1" applyFont="1" applyFill="1" applyBorder="1" applyAlignment="1">
      <alignment vertical="center"/>
    </xf>
    <xf numFmtId="2" fontId="6" fillId="10" borderId="2" xfId="6" applyNumberFormat="1" applyFont="1" applyFill="1" applyBorder="1" applyAlignment="1">
      <alignment horizontal="center" vertical="center"/>
    </xf>
    <xf numFmtId="173" fontId="15" fillId="10" borderId="40" xfId="0" applyNumberFormat="1" applyFont="1" applyFill="1" applyBorder="1" applyAlignment="1">
      <alignment horizontal="center" vertical="center" wrapText="1"/>
    </xf>
    <xf numFmtId="173" fontId="15" fillId="10" borderId="75" xfId="0" applyNumberFormat="1" applyFont="1" applyFill="1" applyBorder="1" applyAlignment="1">
      <alignment horizontal="center" vertical="center" wrapText="1"/>
    </xf>
    <xf numFmtId="167" fontId="15" fillId="10" borderId="93" xfId="0" applyNumberFormat="1" applyFont="1" applyFill="1" applyBorder="1" applyAlignment="1">
      <alignment horizontal="center" vertical="center" wrapText="1"/>
    </xf>
    <xf numFmtId="173" fontId="15" fillId="10" borderId="45" xfId="0" applyNumberFormat="1" applyFont="1" applyFill="1" applyBorder="1" applyAlignment="1">
      <alignment horizontal="center" vertical="center" wrapText="1"/>
    </xf>
    <xf numFmtId="173" fontId="15" fillId="10" borderId="121" xfId="0" applyNumberFormat="1" applyFont="1" applyFill="1" applyBorder="1" applyAlignment="1">
      <alignment horizontal="center" vertical="center" wrapText="1"/>
    </xf>
    <xf numFmtId="0" fontId="15" fillId="10" borderId="59" xfId="0" applyFont="1" applyFill="1" applyBorder="1" applyAlignment="1">
      <alignment horizontal="center" vertical="center" wrapText="1"/>
    </xf>
    <xf numFmtId="167" fontId="15" fillId="10" borderId="90" xfId="0" applyNumberFormat="1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173" fontId="15" fillId="10" borderId="2" xfId="0" applyNumberFormat="1" applyFont="1" applyFill="1" applyBorder="1" applyAlignment="1">
      <alignment horizontal="center" vertical="center" wrapText="1"/>
    </xf>
    <xf numFmtId="173" fontId="20" fillId="10" borderId="2" xfId="0" applyNumberFormat="1" applyFont="1" applyFill="1" applyBorder="1" applyAlignment="1">
      <alignment horizontal="center" vertical="center"/>
    </xf>
    <xf numFmtId="166" fontId="22" fillId="10" borderId="12" xfId="0" applyNumberFormat="1" applyFont="1" applyFill="1" applyBorder="1" applyAlignment="1">
      <alignment horizontal="center" vertical="center" wrapText="1"/>
    </xf>
    <xf numFmtId="4" fontId="32" fillId="4" borderId="2" xfId="0" applyNumberFormat="1" applyFont="1" applyFill="1" applyBorder="1" applyAlignment="1">
      <alignment vertical="center" wrapText="1"/>
    </xf>
    <xf numFmtId="2" fontId="15" fillId="11" borderId="123" xfId="0" applyNumberFormat="1" applyFont="1" applyFill="1" applyBorder="1" applyAlignment="1">
      <alignment vertical="center" wrapText="1"/>
    </xf>
    <xf numFmtId="0" fontId="10" fillId="10" borderId="0" xfId="0" applyFont="1" applyFill="1" applyAlignment="1">
      <alignment horizontal="center"/>
    </xf>
    <xf numFmtId="167" fontId="10" fillId="10" borderId="13" xfId="0" applyNumberFormat="1" applyFont="1" applyFill="1" applyBorder="1" applyAlignment="1">
      <alignment horizontal="center" vertical="center" wrapText="1"/>
    </xf>
    <xf numFmtId="165" fontId="10" fillId="10" borderId="13" xfId="0" applyNumberFormat="1" applyFont="1" applyFill="1" applyBorder="1" applyAlignment="1">
      <alignment horizontal="center" vertical="center" wrapText="1"/>
    </xf>
    <xf numFmtId="164" fontId="15" fillId="14" borderId="104" xfId="0" applyNumberFormat="1" applyFont="1" applyFill="1" applyBorder="1" applyAlignment="1">
      <alignment horizontal="center" vertical="center" wrapText="1"/>
    </xf>
    <xf numFmtId="167" fontId="10" fillId="10" borderId="13" xfId="0" applyNumberFormat="1" applyFont="1" applyFill="1" applyBorder="1"/>
    <xf numFmtId="2" fontId="15" fillId="11" borderId="123" xfId="0" applyNumberFormat="1" applyFont="1" applyFill="1" applyBorder="1" applyAlignment="1">
      <alignment horizontal="center" vertical="center"/>
    </xf>
    <xf numFmtId="4" fontId="32" fillId="10" borderId="42" xfId="0" applyNumberFormat="1" applyFont="1" applyFill="1" applyBorder="1" applyAlignment="1">
      <alignment vertical="center" wrapText="1"/>
    </xf>
    <xf numFmtId="4" fontId="32" fillId="10" borderId="45" xfId="0" applyNumberFormat="1" applyFont="1" applyFill="1" applyBorder="1" applyAlignment="1">
      <alignment horizontal="center" vertical="center" wrapText="1"/>
    </xf>
    <xf numFmtId="4" fontId="32" fillId="10" borderId="47" xfId="0" applyNumberFormat="1" applyFont="1" applyFill="1" applyBorder="1" applyAlignment="1">
      <alignment vertical="center" wrapText="1"/>
    </xf>
    <xf numFmtId="0" fontId="37" fillId="10" borderId="10" xfId="0" applyFont="1" applyFill="1" applyBorder="1" applyAlignment="1">
      <alignment vertical="center"/>
    </xf>
    <xf numFmtId="0" fontId="37" fillId="10" borderId="1" xfId="0" applyFont="1" applyFill="1" applyBorder="1" applyAlignment="1">
      <alignment vertical="center"/>
    </xf>
    <xf numFmtId="0" fontId="37" fillId="10" borderId="11" xfId="0" applyFont="1" applyFill="1" applyBorder="1" applyAlignment="1">
      <alignment vertical="center"/>
    </xf>
    <xf numFmtId="0" fontId="37" fillId="10" borderId="2" xfId="0" applyFont="1" applyFill="1" applyBorder="1" applyAlignment="1">
      <alignment vertical="center"/>
    </xf>
    <xf numFmtId="167" fontId="15" fillId="11" borderId="12" xfId="0" applyNumberFormat="1" applyFont="1" applyFill="1" applyBorder="1" applyAlignment="1">
      <alignment horizontal="center" vertical="center"/>
    </xf>
    <xf numFmtId="0" fontId="15" fillId="11" borderId="37" xfId="0" applyFont="1" applyFill="1" applyBorder="1" applyAlignment="1">
      <alignment horizontal="center" vertical="center"/>
    </xf>
    <xf numFmtId="167" fontId="15" fillId="11" borderId="13" xfId="0" applyNumberFormat="1" applyFont="1" applyFill="1" applyBorder="1" applyAlignment="1">
      <alignment horizontal="center" vertical="center"/>
    </xf>
    <xf numFmtId="165" fontId="15" fillId="10" borderId="45" xfId="0" applyNumberFormat="1" applyFont="1" applyFill="1" applyBorder="1" applyAlignment="1">
      <alignment horizontal="center" vertical="center" wrapText="1"/>
    </xf>
    <xf numFmtId="3" fontId="27" fillId="10" borderId="2" xfId="0" applyNumberFormat="1" applyFont="1" applyFill="1" applyBorder="1" applyAlignment="1">
      <alignment horizontal="center" vertical="center" wrapText="1"/>
    </xf>
    <xf numFmtId="171" fontId="15" fillId="11" borderId="12" xfId="0" applyNumberFormat="1" applyFont="1" applyFill="1" applyBorder="1" applyAlignment="1">
      <alignment horizontal="center" vertical="center" wrapText="1"/>
    </xf>
    <xf numFmtId="171" fontId="15" fillId="11" borderId="13" xfId="0" applyNumberFormat="1" applyFont="1" applyFill="1" applyBorder="1" applyAlignment="1">
      <alignment horizontal="center" vertical="center" wrapText="1"/>
    </xf>
    <xf numFmtId="1" fontId="15" fillId="11" borderId="12" xfId="0" applyNumberFormat="1" applyFont="1" applyFill="1" applyBorder="1" applyAlignment="1">
      <alignment horizontal="center" vertical="center" wrapText="1"/>
    </xf>
    <xf numFmtId="1" fontId="15" fillId="11" borderId="13" xfId="0" applyNumberFormat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4" fontId="20" fillId="10" borderId="46" xfId="0" applyNumberFormat="1" applyFont="1" applyFill="1" applyBorder="1" applyAlignment="1">
      <alignment horizontal="center" vertical="center"/>
    </xf>
    <xf numFmtId="167" fontId="19" fillId="10" borderId="1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/>
    </xf>
    <xf numFmtId="167" fontId="19" fillId="10" borderId="15" xfId="0" applyNumberFormat="1" applyFont="1" applyFill="1" applyBorder="1" applyAlignment="1">
      <alignment horizontal="center" vertical="center"/>
    </xf>
    <xf numFmtId="167" fontId="19" fillId="10" borderId="13" xfId="0" applyNumberFormat="1" applyFont="1" applyFill="1" applyBorder="1" applyAlignment="1">
      <alignment horizontal="center" vertical="center"/>
    </xf>
    <xf numFmtId="1" fontId="11" fillId="10" borderId="12" xfId="0" applyNumberFormat="1" applyFont="1" applyFill="1" applyBorder="1" applyAlignment="1">
      <alignment horizontal="center" vertical="center" wrapText="1"/>
    </xf>
    <xf numFmtId="164" fontId="30" fillId="10" borderId="80" xfId="2" applyNumberFormat="1" applyFont="1" applyFill="1" applyBorder="1" applyAlignment="1">
      <alignment horizontal="center" vertical="center" wrapText="1"/>
    </xf>
    <xf numFmtId="167" fontId="30" fillId="10" borderId="80" xfId="2" applyNumberFormat="1" applyFont="1" applyFill="1" applyBorder="1" applyAlignment="1">
      <alignment horizontal="center" vertical="center" wrapText="1"/>
    </xf>
    <xf numFmtId="164" fontId="30" fillId="10" borderId="93" xfId="2" applyNumberFormat="1" applyFont="1" applyFill="1" applyBorder="1" applyAlignment="1">
      <alignment horizontal="center" vertical="center" wrapText="1"/>
    </xf>
    <xf numFmtId="167" fontId="30" fillId="10" borderId="93" xfId="2" applyNumberFormat="1" applyFont="1" applyFill="1" applyBorder="1" applyAlignment="1">
      <alignment horizontal="center" vertical="center" wrapText="1"/>
    </xf>
    <xf numFmtId="164" fontId="30" fillId="10" borderId="13" xfId="2" applyNumberFormat="1" applyFont="1" applyFill="1" applyBorder="1" applyAlignment="1">
      <alignment horizontal="center" vertical="center" wrapText="1"/>
    </xf>
    <xf numFmtId="167" fontId="30" fillId="10" borderId="13" xfId="2" applyNumberFormat="1" applyFont="1" applyFill="1" applyBorder="1" applyAlignment="1">
      <alignment horizontal="center" vertical="center" wrapText="1"/>
    </xf>
    <xf numFmtId="164" fontId="19" fillId="10" borderId="104" xfId="2" applyNumberFormat="1" applyFont="1" applyFill="1" applyBorder="1" applyAlignment="1">
      <alignment horizontal="center" vertical="center" wrapText="1"/>
    </xf>
    <xf numFmtId="167" fontId="19" fillId="10" borderId="104" xfId="2" applyNumberFormat="1" applyFont="1" applyFill="1" applyBorder="1" applyAlignment="1">
      <alignment horizontal="center" vertical="center" wrapText="1"/>
    </xf>
    <xf numFmtId="164" fontId="19" fillId="10" borderId="15" xfId="2" applyNumberFormat="1" applyFont="1" applyFill="1" applyBorder="1" applyAlignment="1">
      <alignment horizontal="center" vertical="center" wrapText="1"/>
    </xf>
    <xf numFmtId="167" fontId="19" fillId="10" borderId="15" xfId="2" applyNumberFormat="1" applyFont="1" applyFill="1" applyBorder="1" applyAlignment="1">
      <alignment horizontal="center" vertical="center" wrapText="1"/>
    </xf>
    <xf numFmtId="164" fontId="20" fillId="10" borderId="15" xfId="0" applyNumberFormat="1" applyFont="1" applyFill="1" applyBorder="1" applyAlignment="1">
      <alignment horizontal="center" vertical="center" wrapText="1"/>
    </xf>
    <xf numFmtId="167" fontId="20" fillId="10" borderId="15" xfId="0" applyNumberFormat="1" applyFont="1" applyFill="1" applyBorder="1" applyAlignment="1">
      <alignment horizontal="center" vertical="center" wrapText="1"/>
    </xf>
    <xf numFmtId="0" fontId="8" fillId="10" borderId="12" xfId="2" applyFont="1" applyFill="1" applyBorder="1" applyAlignment="1">
      <alignment horizontal="center" vertical="center" wrapText="1"/>
    </xf>
    <xf numFmtId="164" fontId="8" fillId="10" borderId="12" xfId="2" applyNumberFormat="1" applyFont="1" applyFill="1" applyBorder="1" applyAlignment="1">
      <alignment horizontal="left" vertical="center" wrapText="1"/>
    </xf>
    <xf numFmtId="164" fontId="8" fillId="10" borderId="12" xfId="2" applyNumberFormat="1" applyFont="1" applyFill="1" applyBorder="1" applyAlignment="1">
      <alignment horizontal="center" vertical="center" wrapText="1"/>
    </xf>
    <xf numFmtId="167" fontId="8" fillId="10" borderId="12" xfId="2" applyNumberFormat="1" applyFont="1" applyFill="1" applyBorder="1" applyAlignment="1">
      <alignment horizontal="center" vertical="center" wrapText="1"/>
    </xf>
    <xf numFmtId="174" fontId="4" fillId="10" borderId="12" xfId="0" applyNumberFormat="1" applyFont="1" applyFill="1" applyBorder="1" applyAlignment="1">
      <alignment horizontal="center" vertical="center" wrapText="1"/>
    </xf>
    <xf numFmtId="0" fontId="8" fillId="10" borderId="15" xfId="2" applyFont="1" applyFill="1" applyBorder="1" applyAlignment="1">
      <alignment horizontal="center" vertical="center" wrapText="1"/>
    </xf>
    <xf numFmtId="164" fontId="8" fillId="10" borderId="15" xfId="2" applyNumberFormat="1" applyFont="1" applyFill="1" applyBorder="1" applyAlignment="1">
      <alignment horizontal="left" vertical="center" wrapText="1"/>
    </xf>
    <xf numFmtId="164" fontId="8" fillId="10" borderId="15" xfId="2" applyNumberFormat="1" applyFont="1" applyFill="1" applyBorder="1" applyAlignment="1">
      <alignment horizontal="center" vertical="center" wrapText="1"/>
    </xf>
    <xf numFmtId="167" fontId="8" fillId="10" borderId="15" xfId="2" applyNumberFormat="1" applyFont="1" applyFill="1" applyBorder="1" applyAlignment="1">
      <alignment horizontal="center" vertical="center" wrapText="1"/>
    </xf>
    <xf numFmtId="174" fontId="4" fillId="10" borderId="15" xfId="0" applyNumberFormat="1" applyFont="1" applyFill="1" applyBorder="1" applyAlignment="1">
      <alignment horizontal="center" vertical="center" wrapText="1"/>
    </xf>
    <xf numFmtId="164" fontId="0" fillId="10" borderId="13" xfId="0" applyNumberFormat="1" applyFont="1" applyFill="1" applyBorder="1" applyAlignment="1">
      <alignment horizontal="center" vertical="center" wrapText="1"/>
    </xf>
    <xf numFmtId="167" fontId="0" fillId="10" borderId="13" xfId="0" applyNumberFormat="1" applyFont="1" applyFill="1" applyBorder="1" applyAlignment="1">
      <alignment horizontal="center" vertical="center" wrapText="1"/>
    </xf>
    <xf numFmtId="174" fontId="4" fillId="10" borderId="13" xfId="0" applyNumberFormat="1" applyFont="1" applyFill="1" applyBorder="1" applyAlignment="1">
      <alignment horizontal="center" vertical="center" wrapText="1"/>
    </xf>
    <xf numFmtId="0" fontId="15" fillId="10" borderId="20" xfId="6" applyFont="1" applyFill="1" applyBorder="1" applyAlignment="1">
      <alignment horizontal="center" vertical="center" wrapText="1"/>
    </xf>
    <xf numFmtId="2" fontId="15" fillId="10" borderId="92" xfId="6" applyNumberFormat="1" applyFont="1" applyFill="1" applyBorder="1" applyAlignment="1">
      <alignment horizontal="center" vertical="center" wrapText="1"/>
    </xf>
    <xf numFmtId="0" fontId="15" fillId="10" borderId="17" xfId="6" applyNumberFormat="1" applyFont="1" applyFill="1" applyBorder="1" applyAlignment="1">
      <alignment horizontal="center" vertical="center" wrapText="1"/>
    </xf>
    <xf numFmtId="0" fontId="15" fillId="10" borderId="45" xfId="6" applyNumberFormat="1" applyFont="1" applyFill="1" applyBorder="1" applyAlignment="1">
      <alignment horizontal="center" vertical="center" wrapText="1"/>
    </xf>
    <xf numFmtId="4" fontId="19" fillId="11" borderId="13" xfId="0" applyNumberFormat="1" applyFont="1" applyFill="1" applyBorder="1" applyAlignment="1">
      <alignment horizontal="center" vertical="center" wrapText="1"/>
    </xf>
    <xf numFmtId="3" fontId="4" fillId="11" borderId="2" xfId="1" applyNumberFormat="1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/>
    </xf>
    <xf numFmtId="4" fontId="15" fillId="10" borderId="12" xfId="0" applyNumberFormat="1" applyFont="1" applyFill="1" applyBorder="1" applyAlignment="1">
      <alignment horizontal="center" vertical="center"/>
    </xf>
    <xf numFmtId="4" fontId="15" fillId="10" borderId="12" xfId="0" applyNumberFormat="1" applyFont="1" applyFill="1" applyBorder="1" applyAlignment="1">
      <alignment horizontal="center" vertical="center"/>
    </xf>
  </cellXfs>
  <cellStyles count="11">
    <cellStyle name="Excel Built-in Normal" xfId="6"/>
    <cellStyle name="Обычный" xfId="0" builtinId="0"/>
    <cellStyle name="Обычный 2" xfId="3"/>
    <cellStyle name="Обычный 3" xfId="1"/>
    <cellStyle name="Обычный 3 2" xfId="7"/>
    <cellStyle name="Обычный 4" xfId="4"/>
    <cellStyle name="Обычный 4 2" xfId="8"/>
    <cellStyle name="Обычный 5" xfId="9"/>
    <cellStyle name="Обычный_Прил 1" xfId="2"/>
    <cellStyle name="Обычный_Приложение №2 к отчету 1-ДГ_Минакова" xfId="5"/>
    <cellStyle name="Пояснение 2" xfId="10"/>
  </cellStyles>
  <dxfs count="0"/>
  <tableStyles count="0" defaultTableStyle="TableStyleMedium2" defaultPivotStyle="PivotStyleLight16"/>
  <colors>
    <mruColors>
      <color rgb="FFFFFFCC"/>
      <color rgb="FFDDDDDD"/>
      <color rgb="FFFFFFFF"/>
      <color rgb="FFCC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651"/>
  <sheetViews>
    <sheetView tabSelected="1" view="pageBreakPreview" zoomScale="60" zoomScaleNormal="80" workbookViewId="0">
      <pane xSplit="7" ySplit="8" topLeftCell="W1487" activePane="bottomRight" state="frozen"/>
      <selection pane="topRight" activeCell="H1" sqref="H1"/>
      <selection pane="bottomLeft" activeCell="A9" sqref="A9"/>
      <selection pane="bottomRight" activeCell="AB1413" sqref="AB1413"/>
    </sheetView>
  </sheetViews>
  <sheetFormatPr defaultColWidth="11.42578125" defaultRowHeight="15" x14ac:dyDescent="0.25"/>
  <cols>
    <col min="1" max="1" width="7" style="1" customWidth="1"/>
    <col min="2" max="2" width="14.140625" style="1" customWidth="1"/>
    <col min="3" max="3" width="43.5703125" style="5" customWidth="1"/>
    <col min="4" max="4" width="12" style="5" customWidth="1"/>
    <col min="5" max="5" width="13.140625" style="5" customWidth="1"/>
    <col min="6" max="6" width="12" style="5" customWidth="1"/>
    <col min="7" max="7" width="13.140625" style="5" customWidth="1"/>
    <col min="8" max="9" width="17.28515625" style="5" customWidth="1"/>
    <col min="10" max="10" width="26.42578125" style="5" customWidth="1"/>
    <col min="11" max="12" width="11.42578125" style="5" customWidth="1"/>
    <col min="13" max="13" width="14.7109375" style="5" customWidth="1"/>
    <col min="14" max="14" width="18.5703125" style="5" customWidth="1"/>
    <col min="15" max="15" width="17.28515625" style="5" customWidth="1"/>
    <col min="16" max="16" width="25.5703125" style="5" customWidth="1"/>
    <col min="17" max="17" width="11.5703125" style="5" customWidth="1"/>
    <col min="18" max="18" width="12.28515625" style="5" customWidth="1"/>
    <col min="19" max="19" width="17.140625" style="5" customWidth="1"/>
    <col min="20" max="20" width="17.85546875" style="28" customWidth="1"/>
    <col min="21" max="21" width="18.7109375" style="28" customWidth="1"/>
    <col min="22" max="22" width="25.42578125" style="5" customWidth="1"/>
    <col min="23" max="23" width="13.140625" style="5" customWidth="1"/>
    <col min="24" max="24" width="9.7109375" style="5" customWidth="1"/>
    <col min="25" max="25" width="19.140625" style="5" customWidth="1"/>
    <col min="26" max="26" width="13.5703125" style="5" customWidth="1"/>
    <col min="27" max="27" width="17.42578125" style="5" customWidth="1"/>
    <col min="28" max="28" width="23.28515625" style="5" customWidth="1"/>
    <col min="29" max="29" width="13.85546875" style="5" customWidth="1"/>
    <col min="30" max="30" width="12" style="5" customWidth="1"/>
    <col min="31" max="31" width="20.28515625" style="5" customWidth="1"/>
    <col min="32" max="32" width="17.7109375" style="5" customWidth="1"/>
    <col min="33" max="33" width="14.140625" style="1" customWidth="1"/>
    <col min="34" max="34" width="23.28515625" style="1" customWidth="1"/>
    <col min="35" max="35" width="12.140625" style="1" customWidth="1"/>
    <col min="36" max="36" width="11.42578125" style="1" customWidth="1"/>
    <col min="37" max="37" width="18" style="1" customWidth="1"/>
    <col min="38" max="38" width="15.7109375" style="1" customWidth="1"/>
    <col min="39" max="39" width="12.42578125" style="1" customWidth="1"/>
    <col min="40" max="40" width="23" style="1" customWidth="1"/>
    <col min="41" max="41" width="12.5703125" style="1" customWidth="1"/>
    <col min="42" max="42" width="10.7109375" style="1" customWidth="1"/>
    <col min="43" max="43" width="15.7109375" style="1" customWidth="1"/>
    <col min="44" max="44" width="28.7109375" style="2" customWidth="1"/>
    <col min="45" max="86" width="11.42578125" style="2"/>
    <col min="87" max="16384" width="11.42578125" style="1"/>
  </cols>
  <sheetData>
    <row r="1" spans="1:86" ht="36" customHeight="1" x14ac:dyDescent="0.25">
      <c r="A1" s="2176" t="s">
        <v>675</v>
      </c>
      <c r="B1" s="2177"/>
      <c r="C1" s="2177"/>
      <c r="D1" s="2177"/>
      <c r="E1" s="2177"/>
      <c r="F1" s="2177"/>
      <c r="G1" s="2177"/>
      <c r="H1" s="2177"/>
      <c r="I1" s="2177"/>
      <c r="J1" s="2177"/>
      <c r="K1" s="2177"/>
      <c r="L1" s="2177"/>
      <c r="M1" s="2177"/>
      <c r="N1" s="2177"/>
      <c r="O1" s="2177"/>
      <c r="P1" s="2177"/>
      <c r="Q1" s="2177"/>
      <c r="R1" s="2177"/>
      <c r="S1" s="2177"/>
      <c r="T1" s="2177"/>
      <c r="U1" s="2177"/>
      <c r="V1" s="2177"/>
      <c r="W1" s="2177"/>
      <c r="X1" s="2177"/>
      <c r="Y1" s="2177"/>
      <c r="Z1" s="2177"/>
      <c r="AA1" s="2177"/>
      <c r="AB1" s="2177"/>
      <c r="AC1" s="2177"/>
      <c r="AD1" s="2177"/>
      <c r="AE1" s="2177"/>
      <c r="AF1" s="2177"/>
      <c r="AG1" s="2177"/>
      <c r="AH1" s="2177"/>
      <c r="AI1" s="2177"/>
      <c r="AJ1" s="2177"/>
      <c r="AK1" s="2177"/>
      <c r="AL1" s="2177"/>
      <c r="AM1" s="2177"/>
      <c r="AN1" s="2177"/>
      <c r="AO1" s="2177"/>
      <c r="AP1" s="2177"/>
      <c r="AQ1" s="2178"/>
    </row>
    <row r="2" spans="1:86" s="8" customFormat="1" ht="23.85" customHeight="1" x14ac:dyDescent="0.2">
      <c r="A2" s="1340" t="s">
        <v>0</v>
      </c>
      <c r="B2" s="2179" t="s">
        <v>17</v>
      </c>
      <c r="C2" s="2180" t="s">
        <v>42</v>
      </c>
      <c r="D2" s="2181" t="s">
        <v>40</v>
      </c>
      <c r="E2" s="2182"/>
      <c r="F2" s="2182"/>
      <c r="G2" s="2183"/>
      <c r="H2" s="1336" t="s">
        <v>18</v>
      </c>
      <c r="I2" s="1336"/>
      <c r="J2" s="1336"/>
      <c r="K2" s="1336"/>
      <c r="L2" s="1336"/>
      <c r="M2" s="1336"/>
      <c r="N2" s="1336" t="s">
        <v>27</v>
      </c>
      <c r="O2" s="1336"/>
      <c r="P2" s="1336"/>
      <c r="Q2" s="1336"/>
      <c r="R2" s="1336"/>
      <c r="S2" s="1336"/>
      <c r="T2" s="1336" t="s">
        <v>28</v>
      </c>
      <c r="U2" s="1336"/>
      <c r="V2" s="1336"/>
      <c r="W2" s="1336"/>
      <c r="X2" s="1336"/>
      <c r="Y2" s="1336"/>
      <c r="Z2" s="1336" t="s">
        <v>29</v>
      </c>
      <c r="AA2" s="1336"/>
      <c r="AB2" s="1336"/>
      <c r="AC2" s="1336"/>
      <c r="AD2" s="1336"/>
      <c r="AE2" s="1336"/>
      <c r="AF2" s="1336" t="s">
        <v>30</v>
      </c>
      <c r="AG2" s="1336"/>
      <c r="AH2" s="1336"/>
      <c r="AI2" s="1336"/>
      <c r="AJ2" s="1336"/>
      <c r="AK2" s="1336"/>
      <c r="AL2" s="1336" t="s">
        <v>31</v>
      </c>
      <c r="AM2" s="1336"/>
      <c r="AN2" s="1336"/>
      <c r="AO2" s="1336"/>
      <c r="AP2" s="1336"/>
      <c r="AQ2" s="1336"/>
      <c r="AR2" s="1259" t="s">
        <v>39</v>
      </c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s="8" customFormat="1" ht="21" customHeight="1" x14ac:dyDescent="0.2">
      <c r="A3" s="1340"/>
      <c r="B3" s="2179"/>
      <c r="C3" s="2180"/>
      <c r="D3" s="2184"/>
      <c r="E3" s="2185"/>
      <c r="F3" s="2185"/>
      <c r="G3" s="2186"/>
      <c r="H3" s="1336" t="s">
        <v>19</v>
      </c>
      <c r="I3" s="1336"/>
      <c r="J3" s="1336" t="s">
        <v>20</v>
      </c>
      <c r="K3" s="1336" t="s">
        <v>21</v>
      </c>
      <c r="L3" s="1336"/>
      <c r="M3" s="1336" t="s">
        <v>1</v>
      </c>
      <c r="N3" s="1336" t="s">
        <v>19</v>
      </c>
      <c r="O3" s="1336"/>
      <c r="P3" s="1336" t="s">
        <v>20</v>
      </c>
      <c r="Q3" s="1336" t="s">
        <v>21</v>
      </c>
      <c r="R3" s="1336"/>
      <c r="S3" s="1336" t="s">
        <v>1</v>
      </c>
      <c r="T3" s="1336" t="s">
        <v>19</v>
      </c>
      <c r="U3" s="1336"/>
      <c r="V3" s="1336" t="s">
        <v>20</v>
      </c>
      <c r="W3" s="1336" t="s">
        <v>21</v>
      </c>
      <c r="X3" s="1336"/>
      <c r="Y3" s="1336" t="s">
        <v>1</v>
      </c>
      <c r="Z3" s="1336" t="s">
        <v>19</v>
      </c>
      <c r="AA3" s="1336"/>
      <c r="AB3" s="1336" t="s">
        <v>20</v>
      </c>
      <c r="AC3" s="1336" t="s">
        <v>21</v>
      </c>
      <c r="AD3" s="1336"/>
      <c r="AE3" s="1336" t="s">
        <v>1</v>
      </c>
      <c r="AF3" s="1336" t="s">
        <v>19</v>
      </c>
      <c r="AG3" s="1336"/>
      <c r="AH3" s="1336" t="s">
        <v>20</v>
      </c>
      <c r="AI3" s="1336" t="s">
        <v>21</v>
      </c>
      <c r="AJ3" s="1336"/>
      <c r="AK3" s="1336" t="s">
        <v>1</v>
      </c>
      <c r="AL3" s="1336" t="s">
        <v>19</v>
      </c>
      <c r="AM3" s="1336"/>
      <c r="AN3" s="1336" t="s">
        <v>20</v>
      </c>
      <c r="AO3" s="1336" t="s">
        <v>21</v>
      </c>
      <c r="AP3" s="1336"/>
      <c r="AQ3" s="1336" t="s">
        <v>1</v>
      </c>
      <c r="AR3" s="1259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s="8" customFormat="1" ht="27" customHeight="1" x14ac:dyDescent="0.2">
      <c r="A4" s="1340"/>
      <c r="B4" s="2179"/>
      <c r="C4" s="2180"/>
      <c r="D4" s="1341" t="s">
        <v>41</v>
      </c>
      <c r="E4" s="2187"/>
      <c r="F4" s="1341" t="s">
        <v>38</v>
      </c>
      <c r="G4" s="2187"/>
      <c r="H4" s="1336"/>
      <c r="I4" s="1336"/>
      <c r="J4" s="1336"/>
      <c r="K4" s="1336"/>
      <c r="L4" s="1336"/>
      <c r="M4" s="1336"/>
      <c r="N4" s="1336"/>
      <c r="O4" s="1336"/>
      <c r="P4" s="1336"/>
      <c r="Q4" s="1336"/>
      <c r="R4" s="1336"/>
      <c r="S4" s="1336"/>
      <c r="T4" s="1336"/>
      <c r="U4" s="1336"/>
      <c r="V4" s="1336"/>
      <c r="W4" s="1336"/>
      <c r="X4" s="1336"/>
      <c r="Y4" s="1336"/>
      <c r="Z4" s="1336"/>
      <c r="AA4" s="1336"/>
      <c r="AB4" s="1336"/>
      <c r="AC4" s="1336"/>
      <c r="AD4" s="1336"/>
      <c r="AE4" s="1336"/>
      <c r="AF4" s="1336"/>
      <c r="AG4" s="1336"/>
      <c r="AH4" s="1336"/>
      <c r="AI4" s="1336"/>
      <c r="AJ4" s="1336"/>
      <c r="AK4" s="1336"/>
      <c r="AL4" s="1336"/>
      <c r="AM4" s="1336"/>
      <c r="AN4" s="1336"/>
      <c r="AO4" s="1336"/>
      <c r="AP4" s="1336"/>
      <c r="AQ4" s="1336"/>
      <c r="AR4" s="1259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 s="8" customFormat="1" ht="45" x14ac:dyDescent="0.2">
      <c r="A5" s="1340"/>
      <c r="B5" s="2179"/>
      <c r="C5" s="2180"/>
      <c r="D5" s="946" t="s">
        <v>2</v>
      </c>
      <c r="E5" s="946" t="s">
        <v>3</v>
      </c>
      <c r="F5" s="946" t="s">
        <v>2</v>
      </c>
      <c r="G5" s="946" t="s">
        <v>3</v>
      </c>
      <c r="H5" s="946" t="s">
        <v>24</v>
      </c>
      <c r="I5" s="946" t="s">
        <v>25</v>
      </c>
      <c r="J5" s="1336"/>
      <c r="K5" s="946" t="s">
        <v>22</v>
      </c>
      <c r="L5" s="946" t="s">
        <v>23</v>
      </c>
      <c r="M5" s="946" t="s">
        <v>26</v>
      </c>
      <c r="N5" s="946" t="s">
        <v>24</v>
      </c>
      <c r="O5" s="946" t="s">
        <v>25</v>
      </c>
      <c r="P5" s="1336"/>
      <c r="Q5" s="946" t="s">
        <v>22</v>
      </c>
      <c r="R5" s="946" t="s">
        <v>23</v>
      </c>
      <c r="S5" s="946" t="s">
        <v>26</v>
      </c>
      <c r="T5" s="946" t="s">
        <v>24</v>
      </c>
      <c r="U5" s="946" t="s">
        <v>25</v>
      </c>
      <c r="V5" s="1336"/>
      <c r="W5" s="946" t="s">
        <v>22</v>
      </c>
      <c r="X5" s="946" t="s">
        <v>23</v>
      </c>
      <c r="Y5" s="946" t="s">
        <v>26</v>
      </c>
      <c r="Z5" s="946" t="s">
        <v>24</v>
      </c>
      <c r="AA5" s="946" t="s">
        <v>25</v>
      </c>
      <c r="AB5" s="1336"/>
      <c r="AC5" s="946" t="s">
        <v>22</v>
      </c>
      <c r="AD5" s="946" t="s">
        <v>23</v>
      </c>
      <c r="AE5" s="946" t="s">
        <v>26</v>
      </c>
      <c r="AF5" s="946" t="s">
        <v>24</v>
      </c>
      <c r="AG5" s="946" t="s">
        <v>25</v>
      </c>
      <c r="AH5" s="1336"/>
      <c r="AI5" s="946" t="s">
        <v>22</v>
      </c>
      <c r="AJ5" s="946" t="s">
        <v>23</v>
      </c>
      <c r="AK5" s="946" t="s">
        <v>26</v>
      </c>
      <c r="AL5" s="946" t="s">
        <v>24</v>
      </c>
      <c r="AM5" s="946" t="s">
        <v>25</v>
      </c>
      <c r="AN5" s="1336"/>
      <c r="AO5" s="946" t="s">
        <v>22</v>
      </c>
      <c r="AP5" s="946" t="s">
        <v>23</v>
      </c>
      <c r="AQ5" s="946" t="s">
        <v>26</v>
      </c>
      <c r="AR5" s="234">
        <v>43</v>
      </c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s="8" customFormat="1" ht="21" customHeight="1" x14ac:dyDescent="0.2">
      <c r="A6" s="945">
        <v>1</v>
      </c>
      <c r="B6" s="945">
        <v>2</v>
      </c>
      <c r="C6" s="1124">
        <v>3</v>
      </c>
      <c r="D6" s="946">
        <v>4</v>
      </c>
      <c r="E6" s="946">
        <v>5</v>
      </c>
      <c r="F6" s="94">
        <v>6</v>
      </c>
      <c r="G6" s="94">
        <v>7</v>
      </c>
      <c r="H6" s="1125">
        <v>8</v>
      </c>
      <c r="I6" s="946">
        <v>9</v>
      </c>
      <c r="J6" s="94">
        <v>10</v>
      </c>
      <c r="K6" s="1125">
        <v>11</v>
      </c>
      <c r="L6" s="1125">
        <v>12</v>
      </c>
      <c r="M6" s="946">
        <v>13</v>
      </c>
      <c r="N6" s="94">
        <v>14</v>
      </c>
      <c r="O6" s="1125">
        <v>15</v>
      </c>
      <c r="P6" s="94">
        <v>16</v>
      </c>
      <c r="Q6" s="946">
        <v>17</v>
      </c>
      <c r="R6" s="94">
        <v>18</v>
      </c>
      <c r="S6" s="1125">
        <v>19</v>
      </c>
      <c r="T6" s="94">
        <v>20</v>
      </c>
      <c r="U6" s="1125">
        <v>21</v>
      </c>
      <c r="V6" s="946">
        <v>22</v>
      </c>
      <c r="W6" s="94">
        <v>23</v>
      </c>
      <c r="X6" s="94">
        <v>24</v>
      </c>
      <c r="Y6" s="1125">
        <v>25</v>
      </c>
      <c r="Z6" s="946">
        <v>26</v>
      </c>
      <c r="AA6" s="94">
        <v>27</v>
      </c>
      <c r="AB6" s="1125">
        <v>28</v>
      </c>
      <c r="AC6" s="94">
        <v>29</v>
      </c>
      <c r="AD6" s="946">
        <v>30</v>
      </c>
      <c r="AE6" s="94">
        <v>31</v>
      </c>
      <c r="AF6" s="1125">
        <v>32</v>
      </c>
      <c r="AG6" s="94">
        <v>33</v>
      </c>
      <c r="AH6" s="1125">
        <v>34</v>
      </c>
      <c r="AI6" s="946">
        <v>35</v>
      </c>
      <c r="AJ6" s="1125">
        <v>36</v>
      </c>
      <c r="AK6" s="94">
        <v>37</v>
      </c>
      <c r="AL6" s="1125">
        <v>38</v>
      </c>
      <c r="AM6" s="946">
        <v>39</v>
      </c>
      <c r="AN6" s="94">
        <v>40</v>
      </c>
      <c r="AO6" s="1125">
        <v>41</v>
      </c>
      <c r="AP6" s="1125">
        <v>42</v>
      </c>
      <c r="AQ6" s="1125">
        <v>43</v>
      </c>
      <c r="AR6" s="235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s="7" customFormat="1" ht="28.9" customHeight="1" x14ac:dyDescent="0.2">
      <c r="A7" s="2193" t="s">
        <v>1047</v>
      </c>
      <c r="B7" s="2194"/>
      <c r="C7" s="2194"/>
      <c r="D7" s="2194"/>
      <c r="E7" s="2194"/>
      <c r="F7" s="2194"/>
      <c r="G7" s="2194"/>
      <c r="H7" s="2194"/>
      <c r="I7" s="2194"/>
      <c r="J7" s="2194"/>
      <c r="K7" s="2194"/>
      <c r="L7" s="2194"/>
      <c r="M7" s="2194"/>
      <c r="N7" s="2194"/>
      <c r="O7" s="2194"/>
      <c r="P7" s="2194"/>
      <c r="Q7" s="2194"/>
      <c r="R7" s="2194"/>
      <c r="S7" s="2194"/>
      <c r="T7" s="2194"/>
      <c r="U7" s="2194"/>
      <c r="V7" s="2194"/>
      <c r="W7" s="2194"/>
      <c r="X7" s="2194"/>
      <c r="Y7" s="2194"/>
      <c r="Z7" s="2194"/>
      <c r="AA7" s="2194"/>
      <c r="AB7" s="2194"/>
      <c r="AC7" s="2194"/>
      <c r="AD7" s="2194"/>
      <c r="AE7" s="2194"/>
      <c r="AF7" s="2194"/>
      <c r="AG7" s="2194"/>
      <c r="AH7" s="2194"/>
      <c r="AI7" s="2194"/>
      <c r="AJ7" s="2194"/>
      <c r="AK7" s="2194"/>
      <c r="AL7" s="2194"/>
      <c r="AM7" s="2194"/>
      <c r="AN7" s="2194"/>
      <c r="AO7" s="2194"/>
      <c r="AP7" s="2194"/>
      <c r="AQ7" s="2195"/>
      <c r="AR7" s="236"/>
    </row>
    <row r="8" spans="1:86" s="2" customFormat="1" ht="25.7" customHeight="1" x14ac:dyDescent="0.25">
      <c r="A8" s="2190" t="s">
        <v>676</v>
      </c>
      <c r="B8" s="2191"/>
      <c r="C8" s="2191"/>
      <c r="D8" s="2191"/>
      <c r="E8" s="2191"/>
      <c r="F8" s="2191"/>
      <c r="G8" s="2191"/>
      <c r="H8" s="2191"/>
      <c r="I8" s="2191"/>
      <c r="J8" s="2191"/>
      <c r="K8" s="2191"/>
      <c r="L8" s="2191"/>
      <c r="M8" s="2192"/>
      <c r="N8" s="95"/>
      <c r="O8" s="95"/>
      <c r="P8" s="95"/>
      <c r="Q8" s="95"/>
      <c r="R8" s="95"/>
      <c r="S8" s="95"/>
      <c r="T8" s="96"/>
      <c r="U8" s="96"/>
      <c r="V8" s="95"/>
      <c r="W8" s="95"/>
      <c r="X8" s="95"/>
      <c r="Y8" s="2418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spans="1:86" s="115" customFormat="1" ht="31.15" customHeight="1" thickBot="1" x14ac:dyDescent="0.3">
      <c r="A9" s="79"/>
      <c r="B9" s="79"/>
      <c r="C9" s="329" t="s">
        <v>1026</v>
      </c>
      <c r="D9" s="330">
        <f>SUM(D10:D424)</f>
        <v>268.22199999999998</v>
      </c>
      <c r="E9" s="311">
        <f>SUM(E10:E424)</f>
        <v>1703579.9101494255</v>
      </c>
      <c r="F9" s="330">
        <f>SUM(F10:F424)</f>
        <v>268.22199999999998</v>
      </c>
      <c r="G9" s="311">
        <f>SUM(G10:G424)</f>
        <v>1703579.9101494255</v>
      </c>
      <c r="H9" s="331"/>
      <c r="I9" s="332"/>
      <c r="J9" s="333"/>
      <c r="K9" s="330">
        <f>K10+K19+K22+K26+K30+K32+K35+K38+K41+K43+K45+K49+K51+K53+K56+K58+K60+K62+K64+K67+K69+K71+K73+K75+K78+K85+K88+K90+K92</f>
        <v>55.305</v>
      </c>
      <c r="L9" s="334"/>
      <c r="M9" s="483">
        <f>M13+M19+M21+M22+M24+M26+M30+M32+M34+M35+M37+M38+M40+M41+M43+M45+M47+M49+M51+M53+M55+M56+M58+M60+M62+M64+M66+M67+M69+M71+M73+M75+M78+M80+M85+M87+M88+M90+M95+11024.17072</f>
        <v>625080.63</v>
      </c>
      <c r="N9" s="335"/>
      <c r="O9" s="335"/>
      <c r="P9" s="335"/>
      <c r="Q9" s="629">
        <f>Q166+Q168+Q170+Q172+Q175+Q178+Q189+Q191+Q193+Q195+Q197+Q199+Q201+Q203+Q205+Q207+Q209+Q211+Q213+Q215+Q217+Q92+Q219+Q221+Q223+Q97+Q102+Q107+Q111+Q116+Q123+Q129+Q156+Q137+Q141+Q145+Q148+Q152+Q160+Q164</f>
        <v>28.855400000000003</v>
      </c>
      <c r="R9" s="335"/>
      <c r="S9" s="647">
        <f>S166+S168+S170+S172+S175+S178+S189+S191+S193+S195+S197+S199+S201+S203+S205+S207+S209+S211+S213+S215+S217+S92+S219+S221+S223+S97+S102+S107+S111+S116+S123+S129+S156+S137+S141+S148+S152+S160+S145+S99+S100+S101+S104+S105+S106+S109+S110+S113+S114+S118+S119+S120+S125+S126+S127+S131+S132+S133+S139+S140+S143+S144+S147+S150+S151+S154+S158+S159+S162+S163+S164</f>
        <v>1006498.7231999995</v>
      </c>
      <c r="T9" s="545"/>
      <c r="U9" s="82"/>
      <c r="V9" s="80"/>
      <c r="W9" s="81">
        <f>W166+W172+W175+W178+W186+W394+W427</f>
        <v>10.820800000000002</v>
      </c>
      <c r="X9" s="80"/>
      <c r="Y9" s="623">
        <f>Y166+Y172+Y174+Y175+Y178+Y186+Y394+Y177+Y188+Y180+Y181+Y16+Y17+Y18+Y15+Y25+Y28+Y29+Y48+Y77+Y83+Y84+Y115+Y121+Y122+Y128+Y134+Y135+Y136+Y155+Y427+Y429+150.72926</f>
        <v>183900.59927000015</v>
      </c>
      <c r="Z9" s="2419">
        <f>599716.3-Y9</f>
        <v>415815.70072999992</v>
      </c>
      <c r="AA9" s="80"/>
      <c r="AB9" s="80"/>
      <c r="AC9" s="697">
        <f>AC301+AC305+AC311+AC321+AC329+AC341+AC170+AC81+AC213+AC215+AC182+AC184+AC137+AC425+AC430+AC432</f>
        <v>5.968</v>
      </c>
      <c r="AD9" s="698"/>
      <c r="AE9" s="697">
        <f>AE137+AE182+AE184+AE81+AE213+AE215+AE321+AE425+AE291+AE430+AE432</f>
        <v>200388.421</v>
      </c>
      <c r="AF9" s="80"/>
      <c r="AG9" s="80"/>
      <c r="AH9" s="80"/>
      <c r="AI9" s="81">
        <f>AI434+AI436</f>
        <v>5.7859999999999996</v>
      </c>
      <c r="AJ9" s="80"/>
      <c r="AK9" s="81">
        <f>AK434+AK436+AK432</f>
        <v>105263.15800000001</v>
      </c>
      <c r="AL9" s="80"/>
      <c r="AM9" s="80"/>
      <c r="AN9" s="80"/>
      <c r="AO9" s="81">
        <v>5.7859999999999996</v>
      </c>
      <c r="AP9" s="80"/>
      <c r="AQ9" s="777">
        <v>105263.15800000001</v>
      </c>
      <c r="AR9" s="80"/>
    </row>
    <row r="10" spans="1:86" s="312" customFormat="1" ht="72" customHeight="1" x14ac:dyDescent="0.25">
      <c r="A10" s="1363">
        <v>1</v>
      </c>
      <c r="B10" s="2249">
        <v>2245428</v>
      </c>
      <c r="C10" s="2249" t="s">
        <v>52</v>
      </c>
      <c r="D10" s="2155">
        <v>8.1340000000000003</v>
      </c>
      <c r="E10" s="2385">
        <f>91432</f>
        <v>91432</v>
      </c>
      <c r="F10" s="2155">
        <v>8.1340000000000003</v>
      </c>
      <c r="G10" s="2173">
        <f>91432</f>
        <v>91432</v>
      </c>
      <c r="H10" s="1246" t="s">
        <v>441</v>
      </c>
      <c r="I10" s="1246" t="s">
        <v>1183</v>
      </c>
      <c r="J10" s="1238" t="s">
        <v>43</v>
      </c>
      <c r="K10" s="905">
        <v>7.4210000000000003</v>
      </c>
      <c r="L10" s="927" t="s">
        <v>2</v>
      </c>
      <c r="M10" s="1642">
        <f>711.8424+84181.20126+4430.58954</f>
        <v>89323.633199999997</v>
      </c>
      <c r="N10" s="310"/>
      <c r="O10" s="928"/>
      <c r="P10" s="928"/>
      <c r="Q10" s="928"/>
      <c r="R10" s="928"/>
      <c r="S10" s="897"/>
      <c r="T10" s="878"/>
      <c r="U10" s="878"/>
      <c r="V10" s="878"/>
      <c r="W10" s="878"/>
      <c r="X10" s="878"/>
      <c r="Y10" s="878"/>
      <c r="Z10" s="878"/>
      <c r="AA10" s="878"/>
      <c r="AB10" s="878"/>
      <c r="AC10" s="878"/>
      <c r="AD10" s="878"/>
      <c r="AE10" s="878"/>
      <c r="AF10" s="878"/>
      <c r="AG10" s="878"/>
      <c r="AH10" s="878"/>
      <c r="AI10" s="878"/>
      <c r="AJ10" s="878"/>
      <c r="AK10" s="878"/>
      <c r="AL10" s="878"/>
      <c r="AM10" s="878"/>
      <c r="AN10" s="878"/>
      <c r="AO10" s="878"/>
      <c r="AP10" s="878"/>
      <c r="AQ10" s="878"/>
      <c r="AR10" s="1285" t="s">
        <v>1354</v>
      </c>
    </row>
    <row r="11" spans="1:86" s="312" customFormat="1" ht="72" customHeight="1" thickBot="1" x14ac:dyDescent="0.3">
      <c r="A11" s="2198"/>
      <c r="B11" s="1212"/>
      <c r="C11" s="1212"/>
      <c r="D11" s="2197"/>
      <c r="E11" s="2196"/>
      <c r="F11" s="2197"/>
      <c r="G11" s="2199"/>
      <c r="H11" s="1236"/>
      <c r="I11" s="1236"/>
      <c r="J11" s="1239"/>
      <c r="K11" s="910">
        <f>87083.6</f>
        <v>87083.6</v>
      </c>
      <c r="L11" s="319" t="s">
        <v>3</v>
      </c>
      <c r="M11" s="1643"/>
      <c r="N11" s="310"/>
      <c r="O11" s="928"/>
      <c r="P11" s="928"/>
      <c r="Q11" s="928"/>
      <c r="R11" s="928"/>
      <c r="S11" s="897"/>
      <c r="T11" s="878"/>
      <c r="U11" s="878"/>
      <c r="V11" s="878"/>
      <c r="W11" s="878"/>
      <c r="X11" s="878"/>
      <c r="Y11" s="878"/>
      <c r="Z11" s="878"/>
      <c r="AA11" s="878"/>
      <c r="AB11" s="878"/>
      <c r="AC11" s="878"/>
      <c r="AD11" s="878"/>
      <c r="AE11" s="878"/>
      <c r="AF11" s="878"/>
      <c r="AG11" s="878"/>
      <c r="AH11" s="878"/>
      <c r="AI11" s="878"/>
      <c r="AJ11" s="878"/>
      <c r="AK11" s="878"/>
      <c r="AL11" s="878"/>
      <c r="AM11" s="878"/>
      <c r="AN11" s="878"/>
      <c r="AO11" s="878"/>
      <c r="AP11" s="878"/>
      <c r="AQ11" s="878"/>
      <c r="AR11" s="1213"/>
    </row>
    <row r="12" spans="1:86" s="312" customFormat="1" ht="24.75" hidden="1" customHeight="1" x14ac:dyDescent="0.25">
      <c r="A12" s="2198"/>
      <c r="B12" s="1212"/>
      <c r="C12" s="1212"/>
      <c r="D12" s="2197"/>
      <c r="E12" s="2196"/>
      <c r="F12" s="2197"/>
      <c r="G12" s="2199"/>
      <c r="H12" s="911"/>
      <c r="I12" s="911"/>
      <c r="J12" s="911"/>
      <c r="K12" s="898"/>
      <c r="L12" s="1160"/>
      <c r="M12" s="1111"/>
      <c r="N12" s="310"/>
      <c r="O12" s="928"/>
      <c r="P12" s="928"/>
      <c r="Q12" s="928"/>
      <c r="R12" s="928"/>
      <c r="S12" s="897"/>
      <c r="T12" s="878"/>
      <c r="U12" s="878"/>
      <c r="V12" s="878"/>
      <c r="W12" s="878"/>
      <c r="X12" s="878"/>
      <c r="Y12" s="878"/>
      <c r="Z12" s="878"/>
      <c r="AA12" s="878"/>
      <c r="AB12" s="878"/>
      <c r="AC12" s="878"/>
      <c r="AD12" s="878"/>
      <c r="AE12" s="878"/>
      <c r="AF12" s="878"/>
      <c r="AG12" s="878"/>
      <c r="AH12" s="878"/>
      <c r="AI12" s="878"/>
      <c r="AJ12" s="878"/>
      <c r="AK12" s="878"/>
      <c r="AL12" s="878"/>
      <c r="AM12" s="878"/>
      <c r="AN12" s="878"/>
      <c r="AO12" s="878"/>
      <c r="AP12" s="878"/>
      <c r="AQ12" s="878"/>
      <c r="AR12" s="878"/>
    </row>
    <row r="13" spans="1:86" s="312" customFormat="1" ht="17.25" hidden="1" customHeight="1" x14ac:dyDescent="0.25">
      <c r="A13" s="2198"/>
      <c r="B13" s="1212"/>
      <c r="C13" s="1212"/>
      <c r="D13" s="2197"/>
      <c r="E13" s="2196"/>
      <c r="F13" s="2197"/>
      <c r="G13" s="2199"/>
      <c r="H13" s="878"/>
      <c r="I13" s="878"/>
      <c r="J13" s="878"/>
      <c r="K13" s="897"/>
      <c r="L13" s="1116"/>
      <c r="M13" s="1113">
        <f>711.8424</f>
        <v>711.8424</v>
      </c>
      <c r="N13" s="310"/>
      <c r="O13" s="928"/>
      <c r="P13" s="928"/>
      <c r="Q13" s="928"/>
      <c r="R13" s="928"/>
      <c r="S13" s="897"/>
      <c r="T13" s="878"/>
      <c r="U13" s="878"/>
      <c r="V13" s="878"/>
      <c r="W13" s="878"/>
      <c r="X13" s="878"/>
      <c r="Y13" s="878"/>
      <c r="Z13" s="878"/>
      <c r="AA13" s="878"/>
      <c r="AB13" s="878"/>
      <c r="AC13" s="878"/>
      <c r="AD13" s="878"/>
      <c r="AE13" s="878"/>
      <c r="AF13" s="878"/>
      <c r="AG13" s="878"/>
      <c r="AH13" s="878"/>
      <c r="AI13" s="878"/>
      <c r="AJ13" s="878"/>
      <c r="AK13" s="878"/>
      <c r="AL13" s="878"/>
      <c r="AM13" s="878"/>
      <c r="AN13" s="878"/>
      <c r="AO13" s="878"/>
      <c r="AP13" s="878"/>
      <c r="AQ13" s="878"/>
      <c r="AR13" s="878"/>
    </row>
    <row r="14" spans="1:86" s="312" customFormat="1" ht="21" hidden="1" customHeight="1" thickBot="1" x14ac:dyDescent="0.3">
      <c r="A14" s="2198"/>
      <c r="B14" s="1212"/>
      <c r="C14" s="1212"/>
      <c r="D14" s="2197"/>
      <c r="E14" s="2196"/>
      <c r="F14" s="2197"/>
      <c r="G14" s="2199"/>
      <c r="H14" s="936"/>
      <c r="I14" s="936"/>
      <c r="J14" s="936"/>
      <c r="K14" s="1080"/>
      <c r="L14" s="832"/>
      <c r="M14" s="1101">
        <f>84181.20126+4430.58954</f>
        <v>88611.790800000002</v>
      </c>
      <c r="N14" s="310"/>
      <c r="O14" s="928"/>
      <c r="P14" s="928"/>
      <c r="Q14" s="928"/>
      <c r="R14" s="928"/>
      <c r="S14" s="897"/>
      <c r="T14" s="878"/>
      <c r="U14" s="878"/>
      <c r="V14" s="878"/>
      <c r="W14" s="878"/>
      <c r="X14" s="878"/>
      <c r="Y14" s="878"/>
      <c r="Z14" s="878"/>
      <c r="AA14" s="878"/>
      <c r="AB14" s="878"/>
      <c r="AC14" s="878"/>
      <c r="AD14" s="878"/>
      <c r="AE14" s="878"/>
      <c r="AF14" s="878"/>
      <c r="AG14" s="878"/>
      <c r="AH14" s="878"/>
      <c r="AI14" s="878"/>
      <c r="AJ14" s="878"/>
      <c r="AK14" s="878"/>
      <c r="AL14" s="878"/>
      <c r="AM14" s="878"/>
      <c r="AN14" s="878"/>
      <c r="AO14" s="878"/>
      <c r="AP14" s="878"/>
      <c r="AQ14" s="878"/>
      <c r="AR14" s="878"/>
    </row>
    <row r="15" spans="1:86" s="312" customFormat="1" ht="87.75" customHeight="1" x14ac:dyDescent="0.25">
      <c r="A15" s="2198"/>
      <c r="B15" s="1212"/>
      <c r="C15" s="1212"/>
      <c r="D15" s="2197"/>
      <c r="E15" s="2196"/>
      <c r="F15" s="2197"/>
      <c r="G15" s="2199"/>
      <c r="H15" s="936"/>
      <c r="I15" s="936"/>
      <c r="J15" s="936"/>
      <c r="K15" s="1080"/>
      <c r="L15" s="832"/>
      <c r="M15" s="805"/>
      <c r="N15" s="310"/>
      <c r="O15" s="1132"/>
      <c r="P15" s="1132"/>
      <c r="Q15" s="1132"/>
      <c r="R15" s="1132"/>
      <c r="S15" s="1133"/>
      <c r="T15" s="2420" t="s">
        <v>1566</v>
      </c>
      <c r="U15" s="2420" t="s">
        <v>1566</v>
      </c>
      <c r="V15" s="878" t="s">
        <v>1046</v>
      </c>
      <c r="W15" s="878">
        <v>1</v>
      </c>
      <c r="X15" s="878" t="s">
        <v>8</v>
      </c>
      <c r="Y15" s="2421">
        <v>299.35000000000002</v>
      </c>
      <c r="Z15" s="1131"/>
      <c r="AA15" s="1131"/>
      <c r="AB15" s="1131"/>
      <c r="AC15" s="1131"/>
      <c r="AD15" s="1131"/>
      <c r="AE15" s="1131"/>
      <c r="AF15" s="1131"/>
      <c r="AG15" s="1131"/>
      <c r="AH15" s="1131"/>
      <c r="AI15" s="1131"/>
      <c r="AJ15" s="1131"/>
      <c r="AK15" s="1131"/>
      <c r="AL15" s="1131"/>
      <c r="AM15" s="1131"/>
      <c r="AN15" s="1131"/>
      <c r="AO15" s="1131"/>
      <c r="AP15" s="1131"/>
      <c r="AQ15" s="1131"/>
      <c r="AR15" s="1131"/>
    </row>
    <row r="16" spans="1:86" s="312" customFormat="1" ht="88.5" customHeight="1" x14ac:dyDescent="0.25">
      <c r="A16" s="2198"/>
      <c r="B16" s="1212"/>
      <c r="C16" s="1212"/>
      <c r="D16" s="2197"/>
      <c r="E16" s="2196"/>
      <c r="F16" s="2197"/>
      <c r="G16" s="2199"/>
      <c r="H16" s="1131"/>
      <c r="I16" s="1131"/>
      <c r="J16" s="1131"/>
      <c r="K16" s="1133"/>
      <c r="L16" s="833"/>
      <c r="M16" s="805"/>
      <c r="N16" s="310"/>
      <c r="O16" s="1132"/>
      <c r="P16" s="1132"/>
      <c r="Q16" s="1132"/>
      <c r="R16" s="1132"/>
      <c r="S16" s="1133"/>
      <c r="T16" s="2420" t="s">
        <v>1562</v>
      </c>
      <c r="U16" s="2420" t="s">
        <v>1562</v>
      </c>
      <c r="V16" s="878" t="s">
        <v>1046</v>
      </c>
      <c r="W16" s="878">
        <v>1</v>
      </c>
      <c r="X16" s="878" t="s">
        <v>8</v>
      </c>
      <c r="Y16" s="2421">
        <v>445.7</v>
      </c>
      <c r="Z16" s="1131"/>
      <c r="AA16" s="1131"/>
      <c r="AB16" s="1131"/>
      <c r="AC16" s="1131"/>
      <c r="AD16" s="1131"/>
      <c r="AE16" s="1131"/>
      <c r="AF16" s="1131"/>
      <c r="AG16" s="1131"/>
      <c r="AH16" s="1131"/>
      <c r="AI16" s="1131"/>
      <c r="AJ16" s="1131"/>
      <c r="AK16" s="1131"/>
      <c r="AL16" s="1131"/>
      <c r="AM16" s="1131"/>
      <c r="AN16" s="1131"/>
      <c r="AO16" s="1131"/>
      <c r="AP16" s="1131"/>
      <c r="AQ16" s="1131"/>
      <c r="AR16" s="1131"/>
    </row>
    <row r="17" spans="1:44" s="312" customFormat="1" ht="88.5" customHeight="1" x14ac:dyDescent="0.25">
      <c r="A17" s="2198"/>
      <c r="B17" s="1212"/>
      <c r="C17" s="1212"/>
      <c r="D17" s="2197"/>
      <c r="E17" s="2196"/>
      <c r="F17" s="2197"/>
      <c r="G17" s="2199"/>
      <c r="H17" s="1131"/>
      <c r="I17" s="1131"/>
      <c r="J17" s="1131"/>
      <c r="K17" s="1133"/>
      <c r="L17" s="833"/>
      <c r="M17" s="805"/>
      <c r="N17" s="310"/>
      <c r="O17" s="1132"/>
      <c r="P17" s="1132"/>
      <c r="Q17" s="1132"/>
      <c r="R17" s="1132"/>
      <c r="S17" s="1133"/>
      <c r="T17" s="2420" t="s">
        <v>1563</v>
      </c>
      <c r="U17" s="2420" t="s">
        <v>1563</v>
      </c>
      <c r="V17" s="878" t="s">
        <v>1046</v>
      </c>
      <c r="W17" s="878">
        <v>1</v>
      </c>
      <c r="X17" s="878" t="s">
        <v>8</v>
      </c>
      <c r="Y17" s="2422">
        <v>299.35000000000002</v>
      </c>
      <c r="Z17" s="1131"/>
      <c r="AA17" s="1131"/>
      <c r="AB17" s="1131"/>
      <c r="AC17" s="1131"/>
      <c r="AD17" s="1131"/>
      <c r="AE17" s="1131"/>
      <c r="AF17" s="1131"/>
      <c r="AG17" s="1131"/>
      <c r="AH17" s="1131"/>
      <c r="AI17" s="1131"/>
      <c r="AJ17" s="1131"/>
      <c r="AK17" s="1131"/>
      <c r="AL17" s="1131"/>
      <c r="AM17" s="1131"/>
      <c r="AN17" s="1131"/>
      <c r="AO17" s="1131"/>
      <c r="AP17" s="1131"/>
      <c r="AQ17" s="1131"/>
      <c r="AR17" s="1131"/>
    </row>
    <row r="18" spans="1:44" s="312" customFormat="1" ht="88.5" customHeight="1" x14ac:dyDescent="0.25">
      <c r="A18" s="2386"/>
      <c r="B18" s="1213"/>
      <c r="C18" s="1213"/>
      <c r="D18" s="1473"/>
      <c r="E18" s="2234"/>
      <c r="F18" s="1473"/>
      <c r="G18" s="1960"/>
      <c r="H18" s="1131"/>
      <c r="I18" s="1131"/>
      <c r="J18" s="1131"/>
      <c r="K18" s="1133"/>
      <c r="L18" s="833"/>
      <c r="M18" s="805"/>
      <c r="N18" s="310"/>
      <c r="O18" s="1132"/>
      <c r="P18" s="1132"/>
      <c r="Q18" s="1132"/>
      <c r="R18" s="1132"/>
      <c r="S18" s="1133"/>
      <c r="T18" s="2420" t="s">
        <v>1565</v>
      </c>
      <c r="U18" s="2423" t="s">
        <v>1564</v>
      </c>
      <c r="V18" s="878" t="s">
        <v>1046</v>
      </c>
      <c r="W18" s="878">
        <v>1</v>
      </c>
      <c r="X18" s="878" t="s">
        <v>8</v>
      </c>
      <c r="Y18" s="2421">
        <v>485.7</v>
      </c>
      <c r="Z18" s="1131"/>
      <c r="AA18" s="1131"/>
      <c r="AB18" s="1131"/>
      <c r="AC18" s="1131"/>
      <c r="AD18" s="1131"/>
      <c r="AE18" s="1131"/>
      <c r="AF18" s="1131"/>
      <c r="AG18" s="1131"/>
      <c r="AH18" s="1131"/>
      <c r="AI18" s="1131"/>
      <c r="AJ18" s="1131"/>
      <c r="AK18" s="1131"/>
      <c r="AL18" s="1131"/>
      <c r="AM18" s="1131"/>
      <c r="AN18" s="1131"/>
      <c r="AO18" s="1131"/>
      <c r="AP18" s="1131"/>
      <c r="AQ18" s="1131"/>
      <c r="AR18" s="1131"/>
    </row>
    <row r="19" spans="1:44" s="312" customFormat="1" ht="20.65" customHeight="1" x14ac:dyDescent="0.25">
      <c r="A19" s="1253">
        <v>2</v>
      </c>
      <c r="B19" s="2188">
        <v>2242270</v>
      </c>
      <c r="C19" s="1881" t="s">
        <v>53</v>
      </c>
      <c r="D19" s="2197">
        <v>2.68</v>
      </c>
      <c r="E19" s="2196">
        <f>24126</f>
        <v>24126</v>
      </c>
      <c r="F19" s="2197">
        <v>2.68</v>
      </c>
      <c r="G19" s="2199">
        <f>24126</f>
        <v>24126</v>
      </c>
      <c r="H19" s="1213" t="s">
        <v>1107</v>
      </c>
      <c r="I19" s="1213" t="s">
        <v>1085</v>
      </c>
      <c r="J19" s="2198" t="s">
        <v>43</v>
      </c>
      <c r="K19" s="996">
        <v>2.2839999999999998</v>
      </c>
      <c r="L19" s="1081" t="s">
        <v>2</v>
      </c>
      <c r="M19" s="2202">
        <f>34564.314-M21</f>
        <v>33574.096799999999</v>
      </c>
      <c r="N19" s="310"/>
      <c r="O19" s="928"/>
      <c r="P19" s="928"/>
      <c r="Q19" s="928"/>
      <c r="R19" s="928"/>
      <c r="S19" s="897"/>
      <c r="T19" s="2424"/>
      <c r="U19" s="2424"/>
      <c r="V19" s="2424"/>
      <c r="W19" s="2424"/>
      <c r="X19" s="2424"/>
      <c r="Y19" s="2425"/>
      <c r="Z19" s="878"/>
      <c r="AA19" s="878"/>
      <c r="AB19" s="878"/>
      <c r="AC19" s="878"/>
      <c r="AD19" s="878"/>
      <c r="AE19" s="878"/>
      <c r="AF19" s="878"/>
      <c r="AG19" s="878"/>
      <c r="AH19" s="878"/>
      <c r="AI19" s="878"/>
      <c r="AJ19" s="878"/>
      <c r="AK19" s="878"/>
      <c r="AL19" s="878"/>
      <c r="AM19" s="878"/>
      <c r="AN19" s="878"/>
      <c r="AO19" s="878"/>
      <c r="AP19" s="878"/>
      <c r="AQ19" s="878"/>
      <c r="AR19" s="878"/>
    </row>
    <row r="20" spans="1:44" s="312" customFormat="1" ht="22.15" customHeight="1" x14ac:dyDescent="0.25">
      <c r="A20" s="1253"/>
      <c r="B20" s="1709"/>
      <c r="C20" s="1699"/>
      <c r="D20" s="1543"/>
      <c r="E20" s="1943"/>
      <c r="F20" s="1543"/>
      <c r="G20" s="1937"/>
      <c r="H20" s="1233"/>
      <c r="I20" s="1233"/>
      <c r="J20" s="2172"/>
      <c r="K20" s="897">
        <f>18147</f>
        <v>18147</v>
      </c>
      <c r="L20" s="1039" t="s">
        <v>3</v>
      </c>
      <c r="M20" s="2168"/>
      <c r="N20" s="310"/>
      <c r="O20" s="928"/>
      <c r="P20" s="928"/>
      <c r="Q20" s="928"/>
      <c r="R20" s="928"/>
      <c r="S20" s="897"/>
      <c r="T20" s="878"/>
      <c r="U20" s="878"/>
      <c r="V20" s="878"/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878"/>
      <c r="AL20" s="878"/>
      <c r="AM20" s="878"/>
      <c r="AN20" s="878"/>
      <c r="AO20" s="878"/>
      <c r="AP20" s="878"/>
      <c r="AQ20" s="878"/>
      <c r="AR20" s="878"/>
    </row>
    <row r="21" spans="1:44" s="312" customFormat="1" ht="23.1" customHeight="1" thickBot="1" x14ac:dyDescent="0.3">
      <c r="A21" s="1254"/>
      <c r="B21" s="2189"/>
      <c r="C21" s="1781"/>
      <c r="D21" s="1398"/>
      <c r="E21" s="1932"/>
      <c r="F21" s="1398"/>
      <c r="G21" s="1928"/>
      <c r="H21" s="1285"/>
      <c r="I21" s="1285"/>
      <c r="J21" s="1076" t="s">
        <v>11</v>
      </c>
      <c r="K21" s="910">
        <v>63</v>
      </c>
      <c r="L21" s="539" t="s">
        <v>3</v>
      </c>
      <c r="M21" s="1089">
        <v>990.21720000000005</v>
      </c>
      <c r="N21" s="310"/>
      <c r="O21" s="928"/>
      <c r="P21" s="928"/>
      <c r="Q21" s="928"/>
      <c r="R21" s="928"/>
      <c r="S21" s="897"/>
      <c r="T21" s="878"/>
      <c r="U21" s="878"/>
      <c r="V21" s="878"/>
      <c r="W21" s="878"/>
      <c r="X21" s="878"/>
      <c r="Y21" s="878"/>
      <c r="Z21" s="878"/>
      <c r="AA21" s="878"/>
      <c r="AB21" s="878"/>
      <c r="AC21" s="878"/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8"/>
      <c r="AQ21" s="878"/>
      <c r="AR21" s="878"/>
    </row>
    <row r="22" spans="1:44" s="312" customFormat="1" ht="27.6" customHeight="1" x14ac:dyDescent="0.25">
      <c r="A22" s="1252">
        <v>3</v>
      </c>
      <c r="B22" s="2388">
        <v>2238264</v>
      </c>
      <c r="C22" s="2249" t="s">
        <v>54</v>
      </c>
      <c r="D22" s="2155">
        <v>3.4870000000000001</v>
      </c>
      <c r="E22" s="2385">
        <f>48133</f>
        <v>48133</v>
      </c>
      <c r="F22" s="2155">
        <v>3.4870000000000001</v>
      </c>
      <c r="G22" s="2173">
        <f>48133</f>
        <v>48133</v>
      </c>
      <c r="H22" s="1233" t="s">
        <v>1108</v>
      </c>
      <c r="I22" s="1233" t="s">
        <v>1130</v>
      </c>
      <c r="J22" s="1819" t="s">
        <v>43</v>
      </c>
      <c r="K22" s="905">
        <v>2.831</v>
      </c>
      <c r="L22" s="927" t="s">
        <v>2</v>
      </c>
      <c r="M22" s="2167">
        <f>42373.56175-M24</f>
        <v>40051.164550000001</v>
      </c>
      <c r="N22" s="310"/>
      <c r="O22" s="928"/>
      <c r="P22" s="928"/>
      <c r="Q22" s="928"/>
      <c r="R22" s="928"/>
      <c r="S22" s="897"/>
      <c r="T22" s="878"/>
      <c r="U22" s="878"/>
      <c r="V22" s="878"/>
      <c r="W22" s="878"/>
      <c r="X22" s="878"/>
      <c r="Y22" s="878"/>
      <c r="Z22" s="878"/>
      <c r="AA22" s="878"/>
      <c r="AB22" s="878"/>
      <c r="AC22" s="878"/>
      <c r="AD22" s="878"/>
      <c r="AE22" s="878"/>
      <c r="AF22" s="878"/>
      <c r="AG22" s="878"/>
      <c r="AH22" s="878"/>
      <c r="AI22" s="878"/>
      <c r="AJ22" s="878"/>
      <c r="AK22" s="878"/>
      <c r="AL22" s="878"/>
      <c r="AM22" s="878"/>
      <c r="AN22" s="878"/>
      <c r="AO22" s="878"/>
      <c r="AP22" s="878"/>
      <c r="AQ22" s="878"/>
      <c r="AR22" s="1279" t="s">
        <v>1353</v>
      </c>
    </row>
    <row r="23" spans="1:44" s="312" customFormat="1" ht="34.700000000000003" customHeight="1" x14ac:dyDescent="0.25">
      <c r="A23" s="1253"/>
      <c r="B23" s="2188"/>
      <c r="C23" s="1212"/>
      <c r="D23" s="2197"/>
      <c r="E23" s="2196"/>
      <c r="F23" s="2197"/>
      <c r="G23" s="2199"/>
      <c r="H23" s="1233"/>
      <c r="I23" s="1233"/>
      <c r="J23" s="2172"/>
      <c r="K23" s="897">
        <f>38820.68</f>
        <v>38820.68</v>
      </c>
      <c r="L23" s="1039" t="s">
        <v>3</v>
      </c>
      <c r="M23" s="2168"/>
      <c r="N23" s="310"/>
      <c r="O23" s="928"/>
      <c r="P23" s="928"/>
      <c r="Q23" s="928"/>
      <c r="R23" s="928"/>
      <c r="S23" s="897"/>
      <c r="T23" s="878"/>
      <c r="U23" s="878"/>
      <c r="V23" s="878"/>
      <c r="W23" s="878"/>
      <c r="X23" s="878"/>
      <c r="Y23" s="878"/>
      <c r="Z23" s="878"/>
      <c r="AA23" s="878"/>
      <c r="AB23" s="878"/>
      <c r="AC23" s="878"/>
      <c r="AD23" s="878"/>
      <c r="AE23" s="878"/>
      <c r="AF23" s="878"/>
      <c r="AG23" s="878"/>
      <c r="AH23" s="878"/>
      <c r="AI23" s="878"/>
      <c r="AJ23" s="878"/>
      <c r="AK23" s="878"/>
      <c r="AL23" s="878"/>
      <c r="AM23" s="878"/>
      <c r="AN23" s="878"/>
      <c r="AO23" s="878"/>
      <c r="AP23" s="878"/>
      <c r="AQ23" s="878"/>
      <c r="AR23" s="1261"/>
    </row>
    <row r="24" spans="1:44" s="312" customFormat="1" ht="25.7" customHeight="1" thickBot="1" x14ac:dyDescent="0.3">
      <c r="A24" s="1253"/>
      <c r="B24" s="2188"/>
      <c r="C24" s="1212"/>
      <c r="D24" s="2197"/>
      <c r="E24" s="2196"/>
      <c r="F24" s="2197"/>
      <c r="G24" s="2199"/>
      <c r="H24" s="1300"/>
      <c r="I24" s="1300"/>
      <c r="J24" s="1009" t="s">
        <v>11</v>
      </c>
      <c r="K24" s="910">
        <v>1255.28</v>
      </c>
      <c r="L24" s="539" t="s">
        <v>3</v>
      </c>
      <c r="M24" s="1089">
        <v>2322.3971999999999</v>
      </c>
      <c r="N24" s="310"/>
      <c r="O24" s="928"/>
      <c r="P24" s="928"/>
      <c r="Q24" s="928"/>
      <c r="R24" s="928"/>
      <c r="S24" s="897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878"/>
      <c r="AI24" s="878"/>
      <c r="AJ24" s="878"/>
      <c r="AK24" s="878"/>
      <c r="AL24" s="878"/>
      <c r="AM24" s="878"/>
      <c r="AN24" s="878"/>
      <c r="AO24" s="878"/>
      <c r="AP24" s="878"/>
      <c r="AQ24" s="878"/>
      <c r="AR24" s="1268"/>
    </row>
    <row r="25" spans="1:44" s="312" customFormat="1" ht="89.25" customHeight="1" thickBot="1" x14ac:dyDescent="0.3">
      <c r="A25" s="1254"/>
      <c r="B25" s="2389"/>
      <c r="C25" s="2250"/>
      <c r="D25" s="2157"/>
      <c r="E25" s="2387"/>
      <c r="F25" s="2157"/>
      <c r="G25" s="2175"/>
      <c r="H25" s="1131"/>
      <c r="I25" s="1131"/>
      <c r="J25" s="1131"/>
      <c r="K25" s="931"/>
      <c r="L25" s="832"/>
      <c r="M25" s="1101"/>
      <c r="N25" s="310"/>
      <c r="O25" s="1132"/>
      <c r="P25" s="1132"/>
      <c r="Q25" s="1132"/>
      <c r="R25" s="1132"/>
      <c r="S25" s="1133"/>
      <c r="T25" s="2420" t="s">
        <v>1567</v>
      </c>
      <c r="U25" s="2420" t="s">
        <v>1567</v>
      </c>
      <c r="V25" s="878" t="s">
        <v>1046</v>
      </c>
      <c r="W25" s="878">
        <v>1</v>
      </c>
      <c r="X25" s="878" t="s">
        <v>8</v>
      </c>
      <c r="Y25" s="2421">
        <v>712.05</v>
      </c>
      <c r="Z25" s="1131"/>
      <c r="AA25" s="1131"/>
      <c r="AB25" s="1131"/>
      <c r="AC25" s="1131"/>
      <c r="AD25" s="1131"/>
      <c r="AE25" s="1131"/>
      <c r="AF25" s="1131"/>
      <c r="AG25" s="1131"/>
      <c r="AH25" s="1131"/>
      <c r="AI25" s="1131"/>
      <c r="AJ25" s="1131"/>
      <c r="AK25" s="1131"/>
      <c r="AL25" s="1131"/>
      <c r="AM25" s="1131"/>
      <c r="AN25" s="1131"/>
      <c r="AO25" s="1131"/>
      <c r="AP25" s="1131"/>
      <c r="AQ25" s="1131"/>
      <c r="AR25" s="875"/>
    </row>
    <row r="26" spans="1:44" s="312" customFormat="1" ht="37.9" customHeight="1" x14ac:dyDescent="0.25">
      <c r="A26" s="1252">
        <v>4</v>
      </c>
      <c r="B26" s="2388">
        <v>2242094</v>
      </c>
      <c r="C26" s="2249" t="s">
        <v>55</v>
      </c>
      <c r="D26" s="2155">
        <v>2.6360000000000001</v>
      </c>
      <c r="E26" s="2158">
        <f>28195</f>
        <v>28195</v>
      </c>
      <c r="F26" s="2155">
        <v>2.6360000000000001</v>
      </c>
      <c r="G26" s="2152">
        <f>28195</f>
        <v>28195</v>
      </c>
      <c r="H26" s="1938" t="s">
        <v>1131</v>
      </c>
      <c r="I26" s="1940" t="s">
        <v>1109</v>
      </c>
      <c r="J26" s="1942" t="s">
        <v>43</v>
      </c>
      <c r="K26" s="905">
        <v>2.6360000000000001</v>
      </c>
      <c r="L26" s="927" t="s">
        <v>2</v>
      </c>
      <c r="M26" s="1642">
        <v>30456.051599999999</v>
      </c>
      <c r="N26" s="310"/>
      <c r="O26" s="928"/>
      <c r="P26" s="928"/>
      <c r="Q26" s="928"/>
      <c r="R26" s="928"/>
      <c r="S26" s="897"/>
      <c r="T26" s="878"/>
      <c r="U26" s="878"/>
      <c r="V26" s="878"/>
      <c r="W26" s="878"/>
      <c r="X26" s="878"/>
      <c r="Y26" s="878"/>
      <c r="Z26" s="878"/>
      <c r="AA26" s="878"/>
      <c r="AB26" s="878"/>
      <c r="AC26" s="878"/>
      <c r="AD26" s="878"/>
      <c r="AE26" s="878"/>
      <c r="AF26" s="878"/>
      <c r="AG26" s="878"/>
      <c r="AH26" s="878"/>
      <c r="AI26" s="878"/>
      <c r="AJ26" s="878"/>
      <c r="AK26" s="878"/>
      <c r="AL26" s="878"/>
      <c r="AM26" s="878"/>
      <c r="AN26" s="878"/>
      <c r="AO26" s="878"/>
      <c r="AP26" s="878"/>
      <c r="AQ26" s="878"/>
      <c r="AR26" s="1285" t="s">
        <v>1133</v>
      </c>
    </row>
    <row r="27" spans="1:44" s="312" customFormat="1" ht="34.700000000000003" customHeight="1" thickBot="1" x14ac:dyDescent="0.3">
      <c r="A27" s="1253"/>
      <c r="B27" s="2390"/>
      <c r="C27" s="2292"/>
      <c r="D27" s="2156"/>
      <c r="E27" s="2159"/>
      <c r="F27" s="2156"/>
      <c r="G27" s="2153"/>
      <c r="H27" s="1939"/>
      <c r="I27" s="1941"/>
      <c r="J27" s="1635"/>
      <c r="K27" s="910">
        <f>28195</f>
        <v>28195</v>
      </c>
      <c r="L27" s="539" t="s">
        <v>3</v>
      </c>
      <c r="M27" s="1643"/>
      <c r="N27" s="310"/>
      <c r="O27" s="928"/>
      <c r="P27" s="928"/>
      <c r="Q27" s="928"/>
      <c r="R27" s="928"/>
      <c r="S27" s="897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8"/>
      <c r="AF27" s="878"/>
      <c r="AG27" s="878"/>
      <c r="AH27" s="878"/>
      <c r="AI27" s="878"/>
      <c r="AJ27" s="878"/>
      <c r="AK27" s="878"/>
      <c r="AL27" s="878"/>
      <c r="AM27" s="878"/>
      <c r="AN27" s="878"/>
      <c r="AO27" s="878"/>
      <c r="AP27" s="878"/>
      <c r="AQ27" s="878"/>
      <c r="AR27" s="1213"/>
    </row>
    <row r="28" spans="1:44" s="312" customFormat="1" ht="88.5" customHeight="1" x14ac:dyDescent="0.25">
      <c r="A28" s="1253"/>
      <c r="B28" s="2390"/>
      <c r="C28" s="2292"/>
      <c r="D28" s="2156"/>
      <c r="E28" s="2159"/>
      <c r="F28" s="2156"/>
      <c r="G28" s="2153"/>
      <c r="H28" s="1142"/>
      <c r="I28" s="1127"/>
      <c r="J28" s="1121"/>
      <c r="K28" s="1005"/>
      <c r="L28" s="834"/>
      <c r="M28" s="1101"/>
      <c r="N28" s="310"/>
      <c r="O28" s="1132"/>
      <c r="P28" s="1132"/>
      <c r="Q28" s="1132"/>
      <c r="R28" s="1132"/>
      <c r="S28" s="1133"/>
      <c r="T28" s="2420" t="s">
        <v>1568</v>
      </c>
      <c r="U28" s="2420" t="s">
        <v>1568</v>
      </c>
      <c r="V28" s="878" t="s">
        <v>1046</v>
      </c>
      <c r="W28" s="878">
        <v>1</v>
      </c>
      <c r="X28" s="878" t="s">
        <v>8</v>
      </c>
      <c r="Y28" s="2421">
        <v>445.7</v>
      </c>
      <c r="Z28" s="1131"/>
      <c r="AA28" s="1131"/>
      <c r="AB28" s="1131"/>
      <c r="AC28" s="1131"/>
      <c r="AD28" s="1131"/>
      <c r="AE28" s="1131"/>
      <c r="AF28" s="1131"/>
      <c r="AG28" s="1131"/>
      <c r="AH28" s="1131"/>
      <c r="AI28" s="1131"/>
      <c r="AJ28" s="1131"/>
      <c r="AK28" s="1131"/>
      <c r="AL28" s="1131"/>
      <c r="AM28" s="1131"/>
      <c r="AN28" s="1131"/>
      <c r="AO28" s="1131"/>
      <c r="AP28" s="1131"/>
      <c r="AQ28" s="1131"/>
      <c r="AR28" s="1003"/>
    </row>
    <row r="29" spans="1:44" s="312" customFormat="1" ht="88.5" customHeight="1" thickBot="1" x14ac:dyDescent="0.3">
      <c r="A29" s="1254"/>
      <c r="B29" s="2389"/>
      <c r="C29" s="2250"/>
      <c r="D29" s="2157"/>
      <c r="E29" s="2160"/>
      <c r="F29" s="2157"/>
      <c r="G29" s="2154"/>
      <c r="H29" s="1142"/>
      <c r="I29" s="1127"/>
      <c r="J29" s="1121"/>
      <c r="K29" s="1005"/>
      <c r="L29" s="834"/>
      <c r="M29" s="1101"/>
      <c r="N29" s="310"/>
      <c r="O29" s="1132"/>
      <c r="P29" s="1132"/>
      <c r="Q29" s="1132"/>
      <c r="R29" s="1132"/>
      <c r="S29" s="1133"/>
      <c r="T29" s="2420" t="s">
        <v>1569</v>
      </c>
      <c r="U29" s="2420" t="s">
        <v>1569</v>
      </c>
      <c r="V29" s="878" t="s">
        <v>1046</v>
      </c>
      <c r="W29" s="878">
        <v>1</v>
      </c>
      <c r="X29" s="878" t="s">
        <v>8</v>
      </c>
      <c r="Y29" s="2421">
        <v>525.70000000000005</v>
      </c>
      <c r="Z29" s="1131"/>
      <c r="AA29" s="1131"/>
      <c r="AB29" s="1131"/>
      <c r="AC29" s="1131"/>
      <c r="AD29" s="1131"/>
      <c r="AE29" s="1131"/>
      <c r="AF29" s="1131"/>
      <c r="AG29" s="1131"/>
      <c r="AH29" s="1131"/>
      <c r="AI29" s="1131"/>
      <c r="AJ29" s="1131"/>
      <c r="AK29" s="1131"/>
      <c r="AL29" s="1131"/>
      <c r="AM29" s="1131"/>
      <c r="AN29" s="1131"/>
      <c r="AO29" s="1131"/>
      <c r="AP29" s="1131"/>
      <c r="AQ29" s="1131"/>
      <c r="AR29" s="1003"/>
    </row>
    <row r="30" spans="1:44" s="312" customFormat="1" ht="41.1" customHeight="1" x14ac:dyDescent="0.25">
      <c r="A30" s="1262">
        <v>5</v>
      </c>
      <c r="B30" s="1930">
        <v>2245269</v>
      </c>
      <c r="C30" s="1808" t="s">
        <v>56</v>
      </c>
      <c r="D30" s="1397">
        <v>2.9649999999999999</v>
      </c>
      <c r="E30" s="1931">
        <f>29792</f>
        <v>29792</v>
      </c>
      <c r="F30" s="1397">
        <v>2.9649999999999999</v>
      </c>
      <c r="G30" s="1927">
        <f>29792</f>
        <v>29792</v>
      </c>
      <c r="H30" s="1933" t="s">
        <v>1098</v>
      </c>
      <c r="I30" s="1935" t="s">
        <v>1110</v>
      </c>
      <c r="J30" s="1634" t="s">
        <v>43</v>
      </c>
      <c r="K30" s="905">
        <v>2.9649999999999999</v>
      </c>
      <c r="L30" s="927" t="s">
        <v>2</v>
      </c>
      <c r="M30" s="1642">
        <v>24415.856400000001</v>
      </c>
      <c r="N30" s="310"/>
      <c r="O30" s="928"/>
      <c r="P30" s="928"/>
      <c r="Q30" s="928"/>
      <c r="R30" s="928"/>
      <c r="S30" s="897"/>
      <c r="T30" s="878"/>
      <c r="U30" s="878"/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878"/>
      <c r="AI30" s="878"/>
      <c r="AJ30" s="878"/>
      <c r="AK30" s="878"/>
      <c r="AL30" s="878"/>
      <c r="AM30" s="878"/>
      <c r="AN30" s="878"/>
      <c r="AO30" s="878"/>
      <c r="AP30" s="878"/>
      <c r="AQ30" s="878"/>
      <c r="AR30" s="1285" t="s">
        <v>1134</v>
      </c>
    </row>
    <row r="31" spans="1:44" s="312" customFormat="1" ht="31.5" customHeight="1" thickBot="1" x14ac:dyDescent="0.3">
      <c r="A31" s="1253"/>
      <c r="B31" s="1709"/>
      <c r="C31" s="1699"/>
      <c r="D31" s="1543"/>
      <c r="E31" s="1943"/>
      <c r="F31" s="1543"/>
      <c r="G31" s="1937"/>
      <c r="H31" s="1939"/>
      <c r="I31" s="1936"/>
      <c r="J31" s="1962"/>
      <c r="K31" s="1046">
        <f>29792</f>
        <v>29792</v>
      </c>
      <c r="L31" s="1160" t="s">
        <v>3</v>
      </c>
      <c r="M31" s="2146"/>
      <c r="N31" s="310"/>
      <c r="O31" s="928"/>
      <c r="P31" s="928"/>
      <c r="Q31" s="928"/>
      <c r="R31" s="928"/>
      <c r="S31" s="897"/>
      <c r="T31" s="878"/>
      <c r="U31" s="878"/>
      <c r="V31" s="878"/>
      <c r="W31" s="878"/>
      <c r="X31" s="878"/>
      <c r="Y31" s="878"/>
      <c r="Z31" s="878"/>
      <c r="AA31" s="878"/>
      <c r="AB31" s="878"/>
      <c r="AC31" s="878"/>
      <c r="AD31" s="878"/>
      <c r="AE31" s="878"/>
      <c r="AF31" s="878"/>
      <c r="AG31" s="878"/>
      <c r="AH31" s="878"/>
      <c r="AI31" s="878"/>
      <c r="AJ31" s="878"/>
      <c r="AK31" s="878"/>
      <c r="AL31" s="878"/>
      <c r="AM31" s="878"/>
      <c r="AN31" s="878"/>
      <c r="AO31" s="878"/>
      <c r="AP31" s="878"/>
      <c r="AQ31" s="878"/>
      <c r="AR31" s="1213"/>
    </row>
    <row r="32" spans="1:44" s="312" customFormat="1" ht="22.5" customHeight="1" x14ac:dyDescent="0.25">
      <c r="A32" s="1262">
        <v>6</v>
      </c>
      <c r="B32" s="1930">
        <v>2241122</v>
      </c>
      <c r="C32" s="1808" t="s">
        <v>57</v>
      </c>
      <c r="D32" s="1397">
        <v>1.8340000000000001</v>
      </c>
      <c r="E32" s="1931">
        <f>25387</f>
        <v>25387</v>
      </c>
      <c r="F32" s="1397">
        <v>1.8340000000000001</v>
      </c>
      <c r="G32" s="1927">
        <f>25387</f>
        <v>25387</v>
      </c>
      <c r="H32" s="1933" t="s">
        <v>1111</v>
      </c>
      <c r="I32" s="1935" t="s">
        <v>1112</v>
      </c>
      <c r="J32" s="1634" t="s">
        <v>43</v>
      </c>
      <c r="K32" s="905">
        <v>1.796</v>
      </c>
      <c r="L32" s="927" t="s">
        <v>2</v>
      </c>
      <c r="M32" s="2167">
        <f>25141.0968-M34</f>
        <v>24955.471600000001</v>
      </c>
      <c r="N32" s="310"/>
      <c r="O32" s="928"/>
      <c r="P32" s="928"/>
      <c r="Q32" s="928"/>
      <c r="R32" s="928"/>
      <c r="S32" s="897"/>
      <c r="T32" s="878"/>
      <c r="U32" s="878"/>
      <c r="V32" s="878"/>
      <c r="W32" s="878"/>
      <c r="X32" s="878"/>
      <c r="Y32" s="878"/>
      <c r="Z32" s="878"/>
      <c r="AA32" s="878"/>
      <c r="AB32" s="878"/>
      <c r="AC32" s="878"/>
      <c r="AD32" s="878"/>
      <c r="AE32" s="878"/>
      <c r="AF32" s="878"/>
      <c r="AG32" s="878"/>
      <c r="AH32" s="878"/>
      <c r="AI32" s="878"/>
      <c r="AJ32" s="878"/>
      <c r="AK32" s="878"/>
      <c r="AL32" s="878"/>
      <c r="AM32" s="878"/>
      <c r="AN32" s="878"/>
      <c r="AO32" s="878"/>
      <c r="AP32" s="878"/>
      <c r="AQ32" s="878"/>
      <c r="AR32" s="878"/>
    </row>
    <row r="33" spans="1:44" s="312" customFormat="1" ht="22.15" customHeight="1" x14ac:dyDescent="0.25">
      <c r="A33" s="1253"/>
      <c r="B33" s="1709"/>
      <c r="C33" s="1699"/>
      <c r="D33" s="1543"/>
      <c r="E33" s="1943"/>
      <c r="F33" s="1543"/>
      <c r="G33" s="1937"/>
      <c r="H33" s="1934"/>
      <c r="I33" s="1936"/>
      <c r="J33" s="2166"/>
      <c r="K33" s="897">
        <f>22998</f>
        <v>22998</v>
      </c>
      <c r="L33" s="1039" t="s">
        <v>3</v>
      </c>
      <c r="M33" s="2168"/>
      <c r="N33" s="310"/>
      <c r="O33" s="928"/>
      <c r="P33" s="928"/>
      <c r="Q33" s="928"/>
      <c r="R33" s="928"/>
      <c r="S33" s="897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878"/>
      <c r="AI33" s="878"/>
      <c r="AJ33" s="878"/>
      <c r="AK33" s="878"/>
      <c r="AL33" s="878"/>
      <c r="AM33" s="878"/>
      <c r="AN33" s="878"/>
      <c r="AO33" s="878"/>
      <c r="AP33" s="878"/>
      <c r="AQ33" s="878"/>
      <c r="AR33" s="878"/>
    </row>
    <row r="34" spans="1:44" s="312" customFormat="1" ht="23.1" customHeight="1" thickBot="1" x14ac:dyDescent="0.3">
      <c r="A34" s="1253"/>
      <c r="B34" s="1709"/>
      <c r="C34" s="1699"/>
      <c r="D34" s="1543"/>
      <c r="E34" s="1943"/>
      <c r="F34" s="1543"/>
      <c r="G34" s="1937"/>
      <c r="H34" s="1934"/>
      <c r="I34" s="1936"/>
      <c r="J34" s="1100" t="s">
        <v>11</v>
      </c>
      <c r="K34" s="1025">
        <v>167</v>
      </c>
      <c r="L34" s="1160" t="s">
        <v>3</v>
      </c>
      <c r="M34" s="1093">
        <v>185.62520000000001</v>
      </c>
      <c r="N34" s="310"/>
      <c r="O34" s="928"/>
      <c r="P34" s="928"/>
      <c r="Q34" s="928"/>
      <c r="R34" s="928"/>
      <c r="S34" s="897"/>
      <c r="T34" s="878"/>
      <c r="U34" s="878"/>
      <c r="V34" s="878"/>
      <c r="W34" s="878"/>
      <c r="X34" s="878"/>
      <c r="Y34" s="878"/>
      <c r="Z34" s="878"/>
      <c r="AA34" s="878"/>
      <c r="AB34" s="878"/>
      <c r="AC34" s="878"/>
      <c r="AD34" s="878"/>
      <c r="AE34" s="878"/>
      <c r="AF34" s="878"/>
      <c r="AG34" s="878"/>
      <c r="AH34" s="878"/>
      <c r="AI34" s="878"/>
      <c r="AJ34" s="878"/>
      <c r="AK34" s="878"/>
      <c r="AL34" s="878"/>
      <c r="AM34" s="878"/>
      <c r="AN34" s="878"/>
      <c r="AO34" s="878"/>
      <c r="AP34" s="878"/>
      <c r="AQ34" s="878"/>
      <c r="AR34" s="878"/>
    </row>
    <row r="35" spans="1:44" s="312" customFormat="1" ht="42.4" customHeight="1" x14ac:dyDescent="0.25">
      <c r="A35" s="1262">
        <v>7</v>
      </c>
      <c r="B35" s="1930">
        <v>2238533</v>
      </c>
      <c r="C35" s="1808" t="s">
        <v>58</v>
      </c>
      <c r="D35" s="1397">
        <v>0.68899999999999995</v>
      </c>
      <c r="E35" s="1929">
        <f>4140</f>
        <v>4140</v>
      </c>
      <c r="F35" s="1397">
        <v>0.68899999999999995</v>
      </c>
      <c r="G35" s="1255">
        <f>4140</f>
        <v>4140</v>
      </c>
      <c r="H35" s="1933" t="s">
        <v>441</v>
      </c>
      <c r="I35" s="1935" t="s">
        <v>1132</v>
      </c>
      <c r="J35" s="1634" t="s">
        <v>43</v>
      </c>
      <c r="K35" s="905">
        <v>0.68899999999999995</v>
      </c>
      <c r="L35" s="927" t="s">
        <v>2</v>
      </c>
      <c r="M35" s="2167">
        <f>8424.0948-M37</f>
        <v>7359.6360000000004</v>
      </c>
      <c r="N35" s="310"/>
      <c r="O35" s="928"/>
      <c r="P35" s="928"/>
      <c r="Q35" s="928"/>
      <c r="R35" s="928"/>
      <c r="S35" s="897"/>
      <c r="T35" s="878"/>
      <c r="U35" s="878"/>
      <c r="V35" s="878"/>
      <c r="W35" s="878"/>
      <c r="X35" s="878"/>
      <c r="Y35" s="878"/>
      <c r="Z35" s="878"/>
      <c r="AA35" s="878"/>
      <c r="AB35" s="878"/>
      <c r="AC35" s="878"/>
      <c r="AD35" s="878"/>
      <c r="AE35" s="878"/>
      <c r="AF35" s="878"/>
      <c r="AG35" s="878"/>
      <c r="AH35" s="878"/>
      <c r="AI35" s="878"/>
      <c r="AJ35" s="878"/>
      <c r="AK35" s="878"/>
      <c r="AL35" s="878"/>
      <c r="AM35" s="878"/>
      <c r="AN35" s="878"/>
      <c r="AO35" s="878"/>
      <c r="AP35" s="878"/>
      <c r="AQ35" s="878"/>
      <c r="AR35" s="1285" t="s">
        <v>1135</v>
      </c>
    </row>
    <row r="36" spans="1:44" s="312" customFormat="1" ht="41.1" customHeight="1" x14ac:dyDescent="0.25">
      <c r="A36" s="1253"/>
      <c r="B36" s="1709"/>
      <c r="C36" s="1699"/>
      <c r="D36" s="1543"/>
      <c r="E36" s="1265"/>
      <c r="F36" s="1543"/>
      <c r="G36" s="1346"/>
      <c r="H36" s="1934"/>
      <c r="I36" s="1936"/>
      <c r="J36" s="2166"/>
      <c r="K36" s="897">
        <f>4140</f>
        <v>4140</v>
      </c>
      <c r="L36" s="1039" t="s">
        <v>3</v>
      </c>
      <c r="M36" s="2168"/>
      <c r="N36" s="310"/>
      <c r="O36" s="928"/>
      <c r="P36" s="928"/>
      <c r="Q36" s="928"/>
      <c r="R36" s="928"/>
      <c r="S36" s="897"/>
      <c r="T36" s="878"/>
      <c r="U36" s="878"/>
      <c r="V36" s="878"/>
      <c r="W36" s="878"/>
      <c r="X36" s="878"/>
      <c r="Y36" s="878"/>
      <c r="Z36" s="878"/>
      <c r="AA36" s="878"/>
      <c r="AB36" s="878"/>
      <c r="AC36" s="878"/>
      <c r="AD36" s="878"/>
      <c r="AE36" s="878"/>
      <c r="AF36" s="878"/>
      <c r="AG36" s="878"/>
      <c r="AH36" s="878"/>
      <c r="AI36" s="878"/>
      <c r="AJ36" s="878"/>
      <c r="AK36" s="878"/>
      <c r="AL36" s="878"/>
      <c r="AM36" s="878"/>
      <c r="AN36" s="878"/>
      <c r="AO36" s="878"/>
      <c r="AP36" s="878"/>
      <c r="AQ36" s="878"/>
      <c r="AR36" s="1220"/>
    </row>
    <row r="37" spans="1:44" s="312" customFormat="1" ht="32.1" customHeight="1" thickBot="1" x14ac:dyDescent="0.3">
      <c r="A37" s="1253"/>
      <c r="B37" s="1709"/>
      <c r="C37" s="1699"/>
      <c r="D37" s="1543"/>
      <c r="E37" s="1265"/>
      <c r="F37" s="1543"/>
      <c r="G37" s="1346"/>
      <c r="H37" s="1934"/>
      <c r="I37" s="1936"/>
      <c r="J37" s="1100" t="s">
        <v>11</v>
      </c>
      <c r="K37" s="1025">
        <v>231</v>
      </c>
      <c r="L37" s="1160" t="s">
        <v>3</v>
      </c>
      <c r="M37" s="1093">
        <v>1064.4588000000001</v>
      </c>
      <c r="N37" s="310"/>
      <c r="O37" s="928"/>
      <c r="P37" s="928"/>
      <c r="Q37" s="928"/>
      <c r="R37" s="928"/>
      <c r="S37" s="897"/>
      <c r="T37" s="878"/>
      <c r="U37" s="878"/>
      <c r="V37" s="878"/>
      <c r="W37" s="878"/>
      <c r="X37" s="878"/>
      <c r="Y37" s="878"/>
      <c r="Z37" s="878"/>
      <c r="AA37" s="878"/>
      <c r="AB37" s="878"/>
      <c r="AC37" s="878"/>
      <c r="AD37" s="878"/>
      <c r="AE37" s="878"/>
      <c r="AF37" s="878"/>
      <c r="AG37" s="878"/>
      <c r="AH37" s="878"/>
      <c r="AI37" s="878"/>
      <c r="AJ37" s="878"/>
      <c r="AK37" s="878"/>
      <c r="AL37" s="878"/>
      <c r="AM37" s="878"/>
      <c r="AN37" s="878"/>
      <c r="AO37" s="878"/>
      <c r="AP37" s="878"/>
      <c r="AQ37" s="878"/>
      <c r="AR37" s="1213"/>
    </row>
    <row r="38" spans="1:44" s="312" customFormat="1" ht="31.15" customHeight="1" x14ac:dyDescent="0.25">
      <c r="A38" s="1262">
        <v>8</v>
      </c>
      <c r="B38" s="1246" t="s">
        <v>277</v>
      </c>
      <c r="C38" s="1808" t="s">
        <v>465</v>
      </c>
      <c r="D38" s="1397">
        <v>1.546</v>
      </c>
      <c r="E38" s="1931">
        <f>16013</f>
        <v>16013</v>
      </c>
      <c r="F38" s="1397">
        <v>1.546</v>
      </c>
      <c r="G38" s="1927">
        <f>16013</f>
        <v>16013</v>
      </c>
      <c r="H38" s="1933" t="s">
        <v>1137</v>
      </c>
      <c r="I38" s="1935" t="s">
        <v>1098</v>
      </c>
      <c r="J38" s="1634" t="s">
        <v>43</v>
      </c>
      <c r="K38" s="905">
        <v>1.222</v>
      </c>
      <c r="L38" s="927" t="s">
        <v>2</v>
      </c>
      <c r="M38" s="2167">
        <f>24768.786-M40</f>
        <v>24089.554800000002</v>
      </c>
      <c r="N38" s="310"/>
      <c r="O38" s="928"/>
      <c r="P38" s="928"/>
      <c r="Q38" s="928"/>
      <c r="R38" s="928"/>
      <c r="S38" s="897"/>
      <c r="T38" s="878"/>
      <c r="U38" s="878"/>
      <c r="V38" s="878"/>
      <c r="W38" s="878"/>
      <c r="X38" s="878"/>
      <c r="Y38" s="878"/>
      <c r="Z38" s="878"/>
      <c r="AA38" s="878"/>
      <c r="AB38" s="878"/>
      <c r="AC38" s="878"/>
      <c r="AD38" s="878"/>
      <c r="AE38" s="878"/>
      <c r="AF38" s="878"/>
      <c r="AG38" s="878"/>
      <c r="AH38" s="878"/>
      <c r="AI38" s="878"/>
      <c r="AJ38" s="878"/>
      <c r="AK38" s="878"/>
      <c r="AL38" s="878"/>
      <c r="AM38" s="878"/>
      <c r="AN38" s="878"/>
      <c r="AO38" s="878"/>
      <c r="AP38" s="878"/>
      <c r="AQ38" s="878"/>
      <c r="AR38" s="1285" t="s">
        <v>1136</v>
      </c>
    </row>
    <row r="39" spans="1:44" s="312" customFormat="1" ht="16.7" customHeight="1" x14ac:dyDescent="0.25">
      <c r="A39" s="1253"/>
      <c r="B39" s="1220"/>
      <c r="C39" s="1699"/>
      <c r="D39" s="1543"/>
      <c r="E39" s="1943"/>
      <c r="F39" s="1543"/>
      <c r="G39" s="1937"/>
      <c r="H39" s="1934"/>
      <c r="I39" s="1936"/>
      <c r="J39" s="2166"/>
      <c r="K39" s="897">
        <f>14060</f>
        <v>14060</v>
      </c>
      <c r="L39" s="1039" t="s">
        <v>3</v>
      </c>
      <c r="M39" s="2168"/>
      <c r="N39" s="310"/>
      <c r="O39" s="928"/>
      <c r="P39" s="928"/>
      <c r="Q39" s="928"/>
      <c r="R39" s="928"/>
      <c r="S39" s="897"/>
      <c r="T39" s="878"/>
      <c r="U39" s="878"/>
      <c r="V39" s="878"/>
      <c r="W39" s="878"/>
      <c r="X39" s="878"/>
      <c r="Y39" s="878"/>
      <c r="Z39" s="878"/>
      <c r="AA39" s="878"/>
      <c r="AB39" s="878"/>
      <c r="AC39" s="878"/>
      <c r="AD39" s="878"/>
      <c r="AE39" s="878"/>
      <c r="AF39" s="878"/>
      <c r="AG39" s="878"/>
      <c r="AH39" s="878"/>
      <c r="AI39" s="878"/>
      <c r="AJ39" s="878"/>
      <c r="AK39" s="878"/>
      <c r="AL39" s="878"/>
      <c r="AM39" s="878"/>
      <c r="AN39" s="878"/>
      <c r="AO39" s="878"/>
      <c r="AP39" s="878"/>
      <c r="AQ39" s="878"/>
      <c r="AR39" s="1220"/>
    </row>
    <row r="40" spans="1:44" s="312" customFormat="1" ht="20.65" customHeight="1" thickBot="1" x14ac:dyDescent="0.3">
      <c r="A40" s="1254"/>
      <c r="B40" s="1236"/>
      <c r="C40" s="1781"/>
      <c r="D40" s="1398"/>
      <c r="E40" s="1932"/>
      <c r="F40" s="1398"/>
      <c r="G40" s="1928"/>
      <c r="H40" s="1939"/>
      <c r="I40" s="1941"/>
      <c r="J40" s="1098" t="s">
        <v>11</v>
      </c>
      <c r="K40" s="910">
        <v>124</v>
      </c>
      <c r="L40" s="539" t="s">
        <v>3</v>
      </c>
      <c r="M40" s="1089">
        <v>679.23119999999994</v>
      </c>
      <c r="N40" s="310"/>
      <c r="O40" s="928"/>
      <c r="P40" s="928"/>
      <c r="Q40" s="928"/>
      <c r="R40" s="928"/>
      <c r="S40" s="897"/>
      <c r="T40" s="878"/>
      <c r="U40" s="878"/>
      <c r="V40" s="878"/>
      <c r="W40" s="878"/>
      <c r="X40" s="878"/>
      <c r="Y40" s="878"/>
      <c r="Z40" s="878"/>
      <c r="AA40" s="878"/>
      <c r="AB40" s="878"/>
      <c r="AC40" s="878"/>
      <c r="AD40" s="878"/>
      <c r="AE40" s="878"/>
      <c r="AF40" s="878"/>
      <c r="AG40" s="878"/>
      <c r="AH40" s="878"/>
      <c r="AI40" s="878"/>
      <c r="AJ40" s="878"/>
      <c r="AK40" s="878"/>
      <c r="AL40" s="878"/>
      <c r="AM40" s="878"/>
      <c r="AN40" s="878"/>
      <c r="AO40" s="878"/>
      <c r="AP40" s="878"/>
      <c r="AQ40" s="878"/>
      <c r="AR40" s="1213"/>
    </row>
    <row r="41" spans="1:44" s="312" customFormat="1" ht="34.700000000000003" customHeight="1" x14ac:dyDescent="0.25">
      <c r="A41" s="1262">
        <v>9</v>
      </c>
      <c r="B41" s="1246" t="s">
        <v>278</v>
      </c>
      <c r="C41" s="1808" t="s">
        <v>466</v>
      </c>
      <c r="D41" s="1397">
        <f>1.221</f>
        <v>1.2210000000000001</v>
      </c>
      <c r="E41" s="1931">
        <f>13201</f>
        <v>13201</v>
      </c>
      <c r="F41" s="1397">
        <v>1.2210000000000001</v>
      </c>
      <c r="G41" s="1927">
        <f>13201</f>
        <v>13201</v>
      </c>
      <c r="H41" s="1933" t="s">
        <v>1087</v>
      </c>
      <c r="I41" s="1935" t="s">
        <v>1098</v>
      </c>
      <c r="J41" s="1634" t="s">
        <v>43</v>
      </c>
      <c r="K41" s="905">
        <v>0.504</v>
      </c>
      <c r="L41" s="927" t="s">
        <v>2</v>
      </c>
      <c r="M41" s="1642">
        <v>9750.9215999999997</v>
      </c>
      <c r="N41" s="310"/>
      <c r="O41" s="928"/>
      <c r="P41" s="928"/>
      <c r="Q41" s="928"/>
      <c r="R41" s="928"/>
      <c r="S41" s="897"/>
      <c r="T41" s="878"/>
      <c r="U41" s="878"/>
      <c r="V41" s="878"/>
      <c r="W41" s="878"/>
      <c r="X41" s="878"/>
      <c r="Y41" s="878"/>
      <c r="Z41" s="878"/>
      <c r="AA41" s="878"/>
      <c r="AB41" s="878"/>
      <c r="AC41" s="878"/>
      <c r="AD41" s="878"/>
      <c r="AE41" s="878"/>
      <c r="AF41" s="878"/>
      <c r="AG41" s="878"/>
      <c r="AH41" s="878"/>
      <c r="AI41" s="878"/>
      <c r="AJ41" s="878"/>
      <c r="AK41" s="878"/>
      <c r="AL41" s="878"/>
      <c r="AM41" s="878"/>
      <c r="AN41" s="878"/>
      <c r="AO41" s="878"/>
      <c r="AP41" s="878"/>
      <c r="AQ41" s="878"/>
      <c r="AR41" s="1233" t="s">
        <v>1138</v>
      </c>
    </row>
    <row r="42" spans="1:44" s="312" customFormat="1" ht="30.2" customHeight="1" thickBot="1" x14ac:dyDescent="0.3">
      <c r="A42" s="1254"/>
      <c r="B42" s="1236"/>
      <c r="C42" s="1781"/>
      <c r="D42" s="1398"/>
      <c r="E42" s="1932"/>
      <c r="F42" s="1398"/>
      <c r="G42" s="1928"/>
      <c r="H42" s="1939"/>
      <c r="I42" s="1941"/>
      <c r="J42" s="1635"/>
      <c r="K42" s="910">
        <f>5575</f>
        <v>5575</v>
      </c>
      <c r="L42" s="539" t="s">
        <v>3</v>
      </c>
      <c r="M42" s="1643"/>
      <c r="N42" s="310"/>
      <c r="O42" s="928"/>
      <c r="P42" s="928"/>
      <c r="Q42" s="928"/>
      <c r="R42" s="928"/>
      <c r="S42" s="897"/>
      <c r="T42" s="878"/>
      <c r="U42" s="878"/>
      <c r="V42" s="878"/>
      <c r="W42" s="878"/>
      <c r="X42" s="878"/>
      <c r="Y42" s="878"/>
      <c r="Z42" s="878"/>
      <c r="AA42" s="878"/>
      <c r="AB42" s="878"/>
      <c r="AC42" s="878"/>
      <c r="AD42" s="878"/>
      <c r="AE42" s="878"/>
      <c r="AF42" s="878"/>
      <c r="AG42" s="878"/>
      <c r="AH42" s="878"/>
      <c r="AI42" s="878"/>
      <c r="AJ42" s="878"/>
      <c r="AK42" s="878"/>
      <c r="AL42" s="878"/>
      <c r="AM42" s="878"/>
      <c r="AN42" s="878"/>
      <c r="AO42" s="878"/>
      <c r="AP42" s="878"/>
      <c r="AQ42" s="878"/>
      <c r="AR42" s="1233"/>
    </row>
    <row r="43" spans="1:44" s="312" customFormat="1" ht="45" customHeight="1" x14ac:dyDescent="0.25">
      <c r="A43" s="1262">
        <v>10</v>
      </c>
      <c r="B43" s="1246" t="s">
        <v>279</v>
      </c>
      <c r="C43" s="1808" t="s">
        <v>59</v>
      </c>
      <c r="D43" s="1397">
        <v>0.28400000000000003</v>
      </c>
      <c r="E43" s="1929">
        <f>3513</f>
        <v>3513</v>
      </c>
      <c r="F43" s="1397">
        <v>0.28400000000000003</v>
      </c>
      <c r="G43" s="1255">
        <f>3513</f>
        <v>3513</v>
      </c>
      <c r="H43" s="1933" t="s">
        <v>441</v>
      </c>
      <c r="I43" s="1935" t="s">
        <v>1139</v>
      </c>
      <c r="J43" s="1634" t="s">
        <v>43</v>
      </c>
      <c r="K43" s="905">
        <v>0.28400000000000003</v>
      </c>
      <c r="L43" s="927" t="s">
        <v>2</v>
      </c>
      <c r="M43" s="1642">
        <v>4161.7428</v>
      </c>
      <c r="N43" s="310"/>
      <c r="O43" s="928"/>
      <c r="P43" s="928"/>
      <c r="Q43" s="928"/>
      <c r="R43" s="928"/>
      <c r="S43" s="897"/>
      <c r="T43" s="878"/>
      <c r="U43" s="878"/>
      <c r="V43" s="878"/>
      <c r="W43" s="878"/>
      <c r="X43" s="878"/>
      <c r="Y43" s="878"/>
      <c r="Z43" s="878"/>
      <c r="AA43" s="878"/>
      <c r="AB43" s="878"/>
      <c r="AC43" s="878"/>
      <c r="AD43" s="878"/>
      <c r="AE43" s="878"/>
      <c r="AF43" s="878"/>
      <c r="AG43" s="878"/>
      <c r="AH43" s="878"/>
      <c r="AI43" s="878"/>
      <c r="AJ43" s="878"/>
      <c r="AK43" s="878"/>
      <c r="AL43" s="878"/>
      <c r="AM43" s="878"/>
      <c r="AN43" s="878"/>
      <c r="AO43" s="878"/>
      <c r="AP43" s="878"/>
      <c r="AQ43" s="878"/>
      <c r="AR43" s="1285" t="s">
        <v>1140</v>
      </c>
    </row>
    <row r="44" spans="1:44" s="312" customFormat="1" ht="35.65" customHeight="1" thickBot="1" x14ac:dyDescent="0.3">
      <c r="A44" s="1253"/>
      <c r="B44" s="1220"/>
      <c r="C44" s="1699"/>
      <c r="D44" s="1543"/>
      <c r="E44" s="1265"/>
      <c r="F44" s="1543"/>
      <c r="G44" s="1346"/>
      <c r="H44" s="1934"/>
      <c r="I44" s="1941"/>
      <c r="J44" s="1962"/>
      <c r="K44" s="1025">
        <f>3513</f>
        <v>3513</v>
      </c>
      <c r="L44" s="1160" t="s">
        <v>3</v>
      </c>
      <c r="M44" s="2146"/>
      <c r="N44" s="310"/>
      <c r="O44" s="928"/>
      <c r="P44" s="928"/>
      <c r="Q44" s="928"/>
      <c r="R44" s="928"/>
      <c r="S44" s="897"/>
      <c r="T44" s="878"/>
      <c r="U44" s="878"/>
      <c r="V44" s="878"/>
      <c r="W44" s="878"/>
      <c r="X44" s="878"/>
      <c r="Y44" s="878"/>
      <c r="Z44" s="878"/>
      <c r="AA44" s="878"/>
      <c r="AB44" s="878"/>
      <c r="AC44" s="878"/>
      <c r="AD44" s="878"/>
      <c r="AE44" s="878"/>
      <c r="AF44" s="878"/>
      <c r="AG44" s="878"/>
      <c r="AH44" s="878"/>
      <c r="AI44" s="878"/>
      <c r="AJ44" s="878"/>
      <c r="AK44" s="878"/>
      <c r="AL44" s="878"/>
      <c r="AM44" s="878"/>
      <c r="AN44" s="878"/>
      <c r="AO44" s="878"/>
      <c r="AP44" s="878"/>
      <c r="AQ44" s="878"/>
      <c r="AR44" s="1213"/>
    </row>
    <row r="45" spans="1:44" s="312" customFormat="1" ht="23.1" customHeight="1" x14ac:dyDescent="0.25">
      <c r="A45" s="1252">
        <v>11</v>
      </c>
      <c r="B45" s="2249" t="s">
        <v>280</v>
      </c>
      <c r="C45" s="2249" t="s">
        <v>467</v>
      </c>
      <c r="D45" s="2391">
        <v>0.97599999999999998</v>
      </c>
      <c r="E45" s="2385">
        <v>10552</v>
      </c>
      <c r="F45" s="2391">
        <v>0.97599999999999998</v>
      </c>
      <c r="G45" s="2173">
        <v>10552</v>
      </c>
      <c r="H45" s="1933" t="s">
        <v>1113</v>
      </c>
      <c r="I45" s="1935" t="s">
        <v>1097</v>
      </c>
      <c r="J45" s="1634" t="s">
        <v>43</v>
      </c>
      <c r="K45" s="905">
        <v>0.80500000000000005</v>
      </c>
      <c r="L45" s="927" t="s">
        <v>2</v>
      </c>
      <c r="M45" s="2167">
        <f>9118.5444-M47</f>
        <v>7017.4653100000005</v>
      </c>
      <c r="N45" s="310"/>
      <c r="O45" s="928"/>
      <c r="P45" s="928"/>
      <c r="Q45" s="928"/>
      <c r="R45" s="928"/>
      <c r="S45" s="897"/>
      <c r="T45" s="878"/>
      <c r="U45" s="878"/>
      <c r="V45" s="878"/>
      <c r="W45" s="878"/>
      <c r="X45" s="878"/>
      <c r="Y45" s="878"/>
      <c r="Z45" s="878"/>
      <c r="AA45" s="878"/>
      <c r="AB45" s="878"/>
      <c r="AC45" s="878"/>
      <c r="AD45" s="878"/>
      <c r="AE45" s="878"/>
      <c r="AF45" s="878"/>
      <c r="AG45" s="878"/>
      <c r="AH45" s="878"/>
      <c r="AI45" s="878"/>
      <c r="AJ45" s="878"/>
      <c r="AK45" s="878"/>
      <c r="AL45" s="878"/>
      <c r="AM45" s="878"/>
      <c r="AN45" s="878"/>
      <c r="AO45" s="878"/>
      <c r="AP45" s="878"/>
      <c r="AQ45" s="878"/>
      <c r="AR45" s="878"/>
    </row>
    <row r="46" spans="1:44" s="312" customFormat="1" ht="20.65" customHeight="1" x14ac:dyDescent="0.25">
      <c r="A46" s="1253"/>
      <c r="B46" s="2292"/>
      <c r="C46" s="2292"/>
      <c r="D46" s="2392"/>
      <c r="E46" s="2394"/>
      <c r="F46" s="2392"/>
      <c r="G46" s="2174"/>
      <c r="H46" s="1934"/>
      <c r="I46" s="1936"/>
      <c r="J46" s="2166"/>
      <c r="K46" s="897">
        <f>7901</f>
        <v>7901</v>
      </c>
      <c r="L46" s="1039" t="s">
        <v>3</v>
      </c>
      <c r="M46" s="2168"/>
      <c r="N46" s="310"/>
      <c r="O46" s="928"/>
      <c r="P46" s="928"/>
      <c r="Q46" s="928"/>
      <c r="R46" s="928"/>
      <c r="S46" s="897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878"/>
      <c r="AN46" s="878"/>
      <c r="AO46" s="878"/>
      <c r="AP46" s="878"/>
      <c r="AQ46" s="878"/>
      <c r="AR46" s="878"/>
    </row>
    <row r="47" spans="1:44" s="312" customFormat="1" ht="25.15" customHeight="1" thickBot="1" x14ac:dyDescent="0.3">
      <c r="A47" s="1253"/>
      <c r="B47" s="2292"/>
      <c r="C47" s="2292"/>
      <c r="D47" s="2392"/>
      <c r="E47" s="2394"/>
      <c r="F47" s="2392"/>
      <c r="G47" s="2174"/>
      <c r="H47" s="1939"/>
      <c r="I47" s="1941"/>
      <c r="J47" s="1098" t="s">
        <v>11</v>
      </c>
      <c r="K47" s="910">
        <v>800</v>
      </c>
      <c r="L47" s="539" t="s">
        <v>3</v>
      </c>
      <c r="M47" s="1089">
        <v>2101.0790900000002</v>
      </c>
      <c r="N47" s="310"/>
      <c r="O47" s="928"/>
      <c r="P47" s="928"/>
      <c r="Q47" s="928"/>
      <c r="R47" s="928"/>
      <c r="S47" s="897"/>
      <c r="T47" s="878"/>
      <c r="U47" s="878"/>
      <c r="V47" s="878"/>
      <c r="W47" s="878"/>
      <c r="X47" s="878"/>
      <c r="Y47" s="878"/>
      <c r="Z47" s="878"/>
      <c r="AA47" s="878"/>
      <c r="AB47" s="878"/>
      <c r="AC47" s="878"/>
      <c r="AD47" s="878"/>
      <c r="AE47" s="878"/>
      <c r="AF47" s="878"/>
      <c r="AG47" s="878"/>
      <c r="AH47" s="878"/>
      <c r="AI47" s="878"/>
      <c r="AJ47" s="878"/>
      <c r="AK47" s="878"/>
      <c r="AL47" s="878"/>
      <c r="AM47" s="878"/>
      <c r="AN47" s="878"/>
      <c r="AO47" s="878"/>
      <c r="AP47" s="878"/>
      <c r="AQ47" s="878"/>
      <c r="AR47" s="878"/>
    </row>
    <row r="48" spans="1:44" s="312" customFormat="1" ht="85.5" customHeight="1" thickBot="1" x14ac:dyDescent="0.3">
      <c r="A48" s="1254"/>
      <c r="B48" s="2250"/>
      <c r="C48" s="2250"/>
      <c r="D48" s="2393"/>
      <c r="E48" s="2387"/>
      <c r="F48" s="2393"/>
      <c r="G48" s="2175"/>
      <c r="H48" s="835"/>
      <c r="I48" s="1127"/>
      <c r="J48" s="1121"/>
      <c r="K48" s="1005"/>
      <c r="L48" s="834"/>
      <c r="M48" s="1101"/>
      <c r="N48" s="310"/>
      <c r="O48" s="1132"/>
      <c r="P48" s="1132"/>
      <c r="Q48" s="1132"/>
      <c r="R48" s="1132"/>
      <c r="S48" s="1133"/>
      <c r="T48" s="2420" t="s">
        <v>1570</v>
      </c>
      <c r="U48" s="2420" t="s">
        <v>1570</v>
      </c>
      <c r="V48" s="878" t="s">
        <v>1046</v>
      </c>
      <c r="W48" s="878">
        <v>1</v>
      </c>
      <c r="X48" s="878" t="s">
        <v>8</v>
      </c>
      <c r="Y48" s="2421">
        <v>672.05</v>
      </c>
      <c r="Z48" s="1131"/>
      <c r="AA48" s="1131"/>
      <c r="AB48" s="1131"/>
      <c r="AC48" s="1131"/>
      <c r="AD48" s="1131"/>
      <c r="AE48" s="1131"/>
      <c r="AF48" s="1131"/>
      <c r="AG48" s="1131"/>
      <c r="AH48" s="1131"/>
      <c r="AI48" s="1131"/>
      <c r="AJ48" s="1131"/>
      <c r="AK48" s="1131"/>
      <c r="AL48" s="1131"/>
      <c r="AM48" s="1131"/>
      <c r="AN48" s="1131"/>
      <c r="AO48" s="1131"/>
      <c r="AP48" s="1131"/>
      <c r="AQ48" s="1131"/>
      <c r="AR48" s="1131"/>
    </row>
    <row r="49" spans="1:44" s="312" customFormat="1" ht="23.85" customHeight="1" x14ac:dyDescent="0.25">
      <c r="A49" s="1262">
        <v>12</v>
      </c>
      <c r="B49" s="1246" t="s">
        <v>281</v>
      </c>
      <c r="C49" s="1808" t="s">
        <v>60</v>
      </c>
      <c r="D49" s="1397">
        <v>1.1000000000000001</v>
      </c>
      <c r="E49" s="1931">
        <f>14800</f>
        <v>14800</v>
      </c>
      <c r="F49" s="1397">
        <v>1.1000000000000001</v>
      </c>
      <c r="G49" s="1927">
        <f>14800</f>
        <v>14800</v>
      </c>
      <c r="H49" s="1935" t="s">
        <v>1098</v>
      </c>
      <c r="I49" s="1935" t="s">
        <v>1114</v>
      </c>
      <c r="J49" s="1634" t="s">
        <v>43</v>
      </c>
      <c r="K49" s="905">
        <v>0.84299999999999997</v>
      </c>
      <c r="L49" s="927" t="s">
        <v>2</v>
      </c>
      <c r="M49" s="1642">
        <v>15892.4712</v>
      </c>
      <c r="N49" s="310"/>
      <c r="O49" s="928"/>
      <c r="P49" s="928"/>
      <c r="Q49" s="928"/>
      <c r="R49" s="928"/>
      <c r="S49" s="897"/>
      <c r="T49" s="878"/>
      <c r="U49" s="878"/>
      <c r="V49" s="878"/>
      <c r="W49" s="878"/>
      <c r="X49" s="878"/>
      <c r="Y49" s="878"/>
      <c r="Z49" s="878"/>
      <c r="AA49" s="878"/>
      <c r="AB49" s="878"/>
      <c r="AC49" s="878"/>
      <c r="AD49" s="878"/>
      <c r="AE49" s="878"/>
      <c r="AF49" s="878"/>
      <c r="AG49" s="878"/>
      <c r="AH49" s="878"/>
      <c r="AI49" s="878"/>
      <c r="AJ49" s="878"/>
      <c r="AK49" s="878"/>
      <c r="AL49" s="878"/>
      <c r="AM49" s="878"/>
      <c r="AN49" s="878"/>
      <c r="AO49" s="878"/>
      <c r="AP49" s="878"/>
      <c r="AQ49" s="878"/>
      <c r="AR49" s="878"/>
    </row>
    <row r="50" spans="1:44" s="312" customFormat="1" ht="22.15" customHeight="1" thickBot="1" x14ac:dyDescent="0.3">
      <c r="A50" s="1254"/>
      <c r="B50" s="1236"/>
      <c r="C50" s="1781"/>
      <c r="D50" s="1398"/>
      <c r="E50" s="1932"/>
      <c r="F50" s="1398"/>
      <c r="G50" s="1928"/>
      <c r="H50" s="1941"/>
      <c r="I50" s="1941"/>
      <c r="J50" s="1635"/>
      <c r="K50" s="910">
        <f>12088</f>
        <v>12088</v>
      </c>
      <c r="L50" s="539" t="s">
        <v>3</v>
      </c>
      <c r="M50" s="1643"/>
      <c r="N50" s="310"/>
      <c r="O50" s="928"/>
      <c r="P50" s="928"/>
      <c r="Q50" s="928"/>
      <c r="R50" s="928"/>
      <c r="S50" s="897"/>
      <c r="T50" s="878"/>
      <c r="U50" s="878"/>
      <c r="V50" s="878"/>
      <c r="W50" s="878"/>
      <c r="X50" s="878"/>
      <c r="Y50" s="878"/>
      <c r="Z50" s="878"/>
      <c r="AA50" s="878"/>
      <c r="AB50" s="878"/>
      <c r="AC50" s="878"/>
      <c r="AD50" s="878"/>
      <c r="AE50" s="878"/>
      <c r="AF50" s="878"/>
      <c r="AG50" s="878"/>
      <c r="AH50" s="878"/>
      <c r="AI50" s="878"/>
      <c r="AJ50" s="878"/>
      <c r="AK50" s="878"/>
      <c r="AL50" s="878"/>
      <c r="AM50" s="878"/>
      <c r="AN50" s="878"/>
      <c r="AO50" s="878"/>
      <c r="AP50" s="878"/>
      <c r="AQ50" s="878"/>
      <c r="AR50" s="878"/>
    </row>
    <row r="51" spans="1:44" s="312" customFormat="1" ht="74.650000000000006" customHeight="1" x14ac:dyDescent="0.25">
      <c r="A51" s="1262">
        <v>13</v>
      </c>
      <c r="B51" s="1247" t="s">
        <v>282</v>
      </c>
      <c r="C51" s="1808" t="s">
        <v>61</v>
      </c>
      <c r="D51" s="1397">
        <v>1.3819999999999999</v>
      </c>
      <c r="E51" s="1929">
        <f>9243</f>
        <v>9243</v>
      </c>
      <c r="F51" s="1397">
        <v>1.3819999999999999</v>
      </c>
      <c r="G51" s="1255">
        <f>9243</f>
        <v>9243</v>
      </c>
      <c r="H51" s="1933" t="s">
        <v>441</v>
      </c>
      <c r="I51" s="1935" t="s">
        <v>1142</v>
      </c>
      <c r="J51" s="1634" t="s">
        <v>43</v>
      </c>
      <c r="K51" s="905">
        <v>1.3819999999999999</v>
      </c>
      <c r="L51" s="927" t="s">
        <v>2</v>
      </c>
      <c r="M51" s="1642">
        <f>12603.6552+8138.30506</f>
        <v>20741.96026</v>
      </c>
      <c r="N51" s="310"/>
      <c r="O51" s="928"/>
      <c r="P51" s="928"/>
      <c r="Q51" s="928"/>
      <c r="R51" s="928"/>
      <c r="S51" s="897"/>
      <c r="T51" s="878"/>
      <c r="U51" s="878"/>
      <c r="V51" s="878"/>
      <c r="W51" s="878"/>
      <c r="X51" s="878"/>
      <c r="Y51" s="878"/>
      <c r="Z51" s="878"/>
      <c r="AA51" s="878"/>
      <c r="AB51" s="878"/>
      <c r="AC51" s="878"/>
      <c r="AD51" s="878"/>
      <c r="AE51" s="878"/>
      <c r="AF51" s="878"/>
      <c r="AG51" s="878"/>
      <c r="AH51" s="878"/>
      <c r="AI51" s="878"/>
      <c r="AJ51" s="878"/>
      <c r="AK51" s="878"/>
      <c r="AL51" s="878"/>
      <c r="AM51" s="878"/>
      <c r="AN51" s="878"/>
      <c r="AO51" s="878"/>
      <c r="AP51" s="878"/>
      <c r="AQ51" s="878"/>
      <c r="AR51" s="1285" t="s">
        <v>1141</v>
      </c>
    </row>
    <row r="52" spans="1:44" s="312" customFormat="1" ht="95.85" customHeight="1" thickBot="1" x14ac:dyDescent="0.3">
      <c r="A52" s="1253"/>
      <c r="B52" s="1298"/>
      <c r="C52" s="1699"/>
      <c r="D52" s="1543"/>
      <c r="E52" s="1265"/>
      <c r="F52" s="1543"/>
      <c r="G52" s="1346"/>
      <c r="H52" s="1934"/>
      <c r="I52" s="1941"/>
      <c r="J52" s="1962"/>
      <c r="K52" s="1025">
        <f>9243</f>
        <v>9243</v>
      </c>
      <c r="L52" s="1160" t="s">
        <v>3</v>
      </c>
      <c r="M52" s="2146"/>
      <c r="N52" s="310"/>
      <c r="O52" s="928"/>
      <c r="P52" s="928"/>
      <c r="Q52" s="928"/>
      <c r="R52" s="928"/>
      <c r="S52" s="897"/>
      <c r="T52" s="878"/>
      <c r="U52" s="878"/>
      <c r="V52" s="878"/>
      <c r="W52" s="878"/>
      <c r="X52" s="878"/>
      <c r="Y52" s="878"/>
      <c r="Z52" s="878"/>
      <c r="AA52" s="878"/>
      <c r="AB52" s="878"/>
      <c r="AC52" s="878"/>
      <c r="AD52" s="878"/>
      <c r="AE52" s="878"/>
      <c r="AF52" s="878"/>
      <c r="AG52" s="878"/>
      <c r="AH52" s="878"/>
      <c r="AI52" s="878"/>
      <c r="AJ52" s="878"/>
      <c r="AK52" s="878"/>
      <c r="AL52" s="878"/>
      <c r="AM52" s="878"/>
      <c r="AN52" s="878"/>
      <c r="AO52" s="878"/>
      <c r="AP52" s="878"/>
      <c r="AQ52" s="878"/>
      <c r="AR52" s="1213"/>
    </row>
    <row r="53" spans="1:44" s="312" customFormat="1" ht="27.6" customHeight="1" x14ac:dyDescent="0.25">
      <c r="A53" s="1262">
        <v>14</v>
      </c>
      <c r="B53" s="1247" t="s">
        <v>283</v>
      </c>
      <c r="C53" s="1808" t="s">
        <v>62</v>
      </c>
      <c r="D53" s="1397">
        <v>1.2130000000000001</v>
      </c>
      <c r="E53" s="1929">
        <f>13140</f>
        <v>13140</v>
      </c>
      <c r="F53" s="1397">
        <v>1.2130000000000001</v>
      </c>
      <c r="G53" s="1255">
        <f>13140</f>
        <v>13140</v>
      </c>
      <c r="H53" s="1935" t="s">
        <v>1097</v>
      </c>
      <c r="I53" s="1935" t="s">
        <v>1144</v>
      </c>
      <c r="J53" s="1634" t="s">
        <v>43</v>
      </c>
      <c r="K53" s="905">
        <v>1.2130000000000001</v>
      </c>
      <c r="L53" s="927" t="s">
        <v>2</v>
      </c>
      <c r="M53" s="2167">
        <f>23035.8744-M55</f>
        <v>20555.806800000002</v>
      </c>
      <c r="N53" s="310"/>
      <c r="O53" s="928"/>
      <c r="P53" s="928"/>
      <c r="Q53" s="928"/>
      <c r="R53" s="928"/>
      <c r="S53" s="897"/>
      <c r="T53" s="878"/>
      <c r="U53" s="878"/>
      <c r="V53" s="878"/>
      <c r="W53" s="878"/>
      <c r="X53" s="878"/>
      <c r="Y53" s="878"/>
      <c r="Z53" s="878"/>
      <c r="AA53" s="878"/>
      <c r="AB53" s="878"/>
      <c r="AC53" s="878"/>
      <c r="AD53" s="878"/>
      <c r="AE53" s="878"/>
      <c r="AF53" s="878"/>
      <c r="AG53" s="878"/>
      <c r="AH53" s="878"/>
      <c r="AI53" s="878"/>
      <c r="AJ53" s="878"/>
      <c r="AK53" s="878"/>
      <c r="AL53" s="878"/>
      <c r="AM53" s="878"/>
      <c r="AN53" s="878"/>
      <c r="AO53" s="878"/>
      <c r="AP53" s="878"/>
      <c r="AQ53" s="878"/>
      <c r="AR53" s="1285" t="s">
        <v>1143</v>
      </c>
    </row>
    <row r="54" spans="1:44" s="312" customFormat="1" ht="20.65" customHeight="1" x14ac:dyDescent="0.25">
      <c r="A54" s="1253"/>
      <c r="B54" s="1298"/>
      <c r="C54" s="1699"/>
      <c r="D54" s="1543"/>
      <c r="E54" s="1265"/>
      <c r="F54" s="1543"/>
      <c r="G54" s="1346"/>
      <c r="H54" s="1936"/>
      <c r="I54" s="1936"/>
      <c r="J54" s="2166"/>
      <c r="K54" s="897">
        <f>13140</f>
        <v>13140</v>
      </c>
      <c r="L54" s="1039" t="s">
        <v>3</v>
      </c>
      <c r="M54" s="2168"/>
      <c r="N54" s="310"/>
      <c r="O54" s="928"/>
      <c r="P54" s="928"/>
      <c r="Q54" s="928"/>
      <c r="R54" s="928"/>
      <c r="S54" s="897"/>
      <c r="T54" s="878"/>
      <c r="U54" s="878"/>
      <c r="V54" s="878"/>
      <c r="W54" s="878"/>
      <c r="X54" s="878"/>
      <c r="Y54" s="878"/>
      <c r="Z54" s="878"/>
      <c r="AA54" s="878"/>
      <c r="AB54" s="878"/>
      <c r="AC54" s="878"/>
      <c r="AD54" s="878"/>
      <c r="AE54" s="878"/>
      <c r="AF54" s="878"/>
      <c r="AG54" s="878"/>
      <c r="AH54" s="878"/>
      <c r="AI54" s="878"/>
      <c r="AJ54" s="878"/>
      <c r="AK54" s="878"/>
      <c r="AL54" s="878"/>
      <c r="AM54" s="878"/>
      <c r="AN54" s="878"/>
      <c r="AO54" s="878"/>
      <c r="AP54" s="878"/>
      <c r="AQ54" s="878"/>
      <c r="AR54" s="1220"/>
    </row>
    <row r="55" spans="1:44" s="312" customFormat="1" ht="20.65" customHeight="1" thickBot="1" x14ac:dyDescent="0.3">
      <c r="A55" s="1254"/>
      <c r="B55" s="1248"/>
      <c r="C55" s="1781"/>
      <c r="D55" s="1398"/>
      <c r="E55" s="1266"/>
      <c r="F55" s="1398"/>
      <c r="G55" s="1256"/>
      <c r="H55" s="1941"/>
      <c r="I55" s="1941"/>
      <c r="J55" s="1098" t="s">
        <v>11</v>
      </c>
      <c r="K55" s="910">
        <v>1468</v>
      </c>
      <c r="L55" s="539" t="s">
        <v>3</v>
      </c>
      <c r="M55" s="1089">
        <v>2480.0675999999999</v>
      </c>
      <c r="N55" s="310"/>
      <c r="O55" s="928"/>
      <c r="P55" s="928"/>
      <c r="Q55" s="928"/>
      <c r="R55" s="928"/>
      <c r="S55" s="897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878"/>
      <c r="AL55" s="878"/>
      <c r="AM55" s="878"/>
      <c r="AN55" s="878"/>
      <c r="AO55" s="878"/>
      <c r="AP55" s="878"/>
      <c r="AQ55" s="878"/>
      <c r="AR55" s="1213"/>
    </row>
    <row r="56" spans="1:44" s="312" customFormat="1" ht="42.4" customHeight="1" x14ac:dyDescent="0.25">
      <c r="A56" s="1262">
        <v>15</v>
      </c>
      <c r="B56" s="1247" t="s">
        <v>284</v>
      </c>
      <c r="C56" s="2161" t="s">
        <v>164</v>
      </c>
      <c r="D56" s="1397">
        <v>2.1</v>
      </c>
      <c r="E56" s="1931">
        <f>17623</f>
        <v>17623</v>
      </c>
      <c r="F56" s="1397">
        <v>2.1</v>
      </c>
      <c r="G56" s="1927">
        <f>17623</f>
        <v>17623</v>
      </c>
      <c r="H56" s="1933" t="s">
        <v>441</v>
      </c>
      <c r="I56" s="1935" t="s">
        <v>1146</v>
      </c>
      <c r="J56" s="1634" t="s">
        <v>43</v>
      </c>
      <c r="K56" s="905">
        <v>2.1</v>
      </c>
      <c r="L56" s="927" t="s">
        <v>2</v>
      </c>
      <c r="M56" s="1642">
        <v>25548.2808</v>
      </c>
      <c r="N56" s="310"/>
      <c r="O56" s="928"/>
      <c r="P56" s="928"/>
      <c r="Q56" s="928"/>
      <c r="R56" s="928"/>
      <c r="S56" s="897"/>
      <c r="T56" s="878"/>
      <c r="U56" s="878"/>
      <c r="V56" s="878"/>
      <c r="W56" s="878"/>
      <c r="X56" s="878"/>
      <c r="Y56" s="878"/>
      <c r="Z56" s="878"/>
      <c r="AA56" s="878"/>
      <c r="AB56" s="878"/>
      <c r="AC56" s="878"/>
      <c r="AD56" s="878"/>
      <c r="AE56" s="878"/>
      <c r="AF56" s="878"/>
      <c r="AG56" s="878"/>
      <c r="AH56" s="878"/>
      <c r="AI56" s="878"/>
      <c r="AJ56" s="878"/>
      <c r="AK56" s="878"/>
      <c r="AL56" s="878"/>
      <c r="AM56" s="878"/>
      <c r="AN56" s="878"/>
      <c r="AO56" s="878"/>
      <c r="AP56" s="878"/>
      <c r="AQ56" s="878"/>
      <c r="AR56" s="1285" t="s">
        <v>1145</v>
      </c>
    </row>
    <row r="57" spans="1:44" s="312" customFormat="1" ht="40.15" customHeight="1" thickBot="1" x14ac:dyDescent="0.3">
      <c r="A57" s="1254"/>
      <c r="B57" s="1248"/>
      <c r="C57" s="2162"/>
      <c r="D57" s="1398"/>
      <c r="E57" s="1932"/>
      <c r="F57" s="1398"/>
      <c r="G57" s="1928"/>
      <c r="H57" s="1939"/>
      <c r="I57" s="1941"/>
      <c r="J57" s="1635"/>
      <c r="K57" s="788">
        <f>17623</f>
        <v>17623</v>
      </c>
      <c r="L57" s="539" t="s">
        <v>3</v>
      </c>
      <c r="M57" s="1643"/>
      <c r="N57" s="310"/>
      <c r="O57" s="928"/>
      <c r="P57" s="928"/>
      <c r="Q57" s="928"/>
      <c r="R57" s="928"/>
      <c r="S57" s="897"/>
      <c r="T57" s="878"/>
      <c r="U57" s="878"/>
      <c r="V57" s="878"/>
      <c r="W57" s="878"/>
      <c r="X57" s="878"/>
      <c r="Y57" s="878"/>
      <c r="Z57" s="878"/>
      <c r="AA57" s="878"/>
      <c r="AB57" s="878"/>
      <c r="AC57" s="878"/>
      <c r="AD57" s="878"/>
      <c r="AE57" s="878"/>
      <c r="AF57" s="878"/>
      <c r="AG57" s="878"/>
      <c r="AH57" s="878"/>
      <c r="AI57" s="878"/>
      <c r="AJ57" s="878"/>
      <c r="AK57" s="878"/>
      <c r="AL57" s="878"/>
      <c r="AM57" s="878"/>
      <c r="AN57" s="878"/>
      <c r="AO57" s="878"/>
      <c r="AP57" s="878"/>
      <c r="AQ57" s="878"/>
      <c r="AR57" s="1213"/>
    </row>
    <row r="58" spans="1:44" s="312" customFormat="1" ht="39.200000000000003" customHeight="1" x14ac:dyDescent="0.25">
      <c r="A58" s="1262">
        <v>16</v>
      </c>
      <c r="B58" s="1247" t="s">
        <v>285</v>
      </c>
      <c r="C58" s="1808" t="s">
        <v>63</v>
      </c>
      <c r="D58" s="1397">
        <v>0.66900000000000004</v>
      </c>
      <c r="E58" s="1929">
        <f>3810</f>
        <v>3810</v>
      </c>
      <c r="F58" s="1397">
        <v>0.66900000000000004</v>
      </c>
      <c r="G58" s="1255">
        <f>3810</f>
        <v>3810</v>
      </c>
      <c r="H58" s="2169" t="s">
        <v>441</v>
      </c>
      <c r="I58" s="2163" t="s">
        <v>1147</v>
      </c>
      <c r="J58" s="1634" t="s">
        <v>43</v>
      </c>
      <c r="K58" s="905">
        <v>0.66900000000000004</v>
      </c>
      <c r="L58" s="927" t="s">
        <v>2</v>
      </c>
      <c r="M58" s="1642">
        <v>2287.1183999999998</v>
      </c>
      <c r="N58" s="310"/>
      <c r="O58" s="928"/>
      <c r="P58" s="928"/>
      <c r="Q58" s="928"/>
      <c r="R58" s="928"/>
      <c r="S58" s="897"/>
      <c r="T58" s="878"/>
      <c r="U58" s="878"/>
      <c r="V58" s="878"/>
      <c r="W58" s="878"/>
      <c r="X58" s="878"/>
      <c r="Y58" s="878"/>
      <c r="Z58" s="878"/>
      <c r="AA58" s="878"/>
      <c r="AB58" s="878"/>
      <c r="AC58" s="878"/>
      <c r="AD58" s="878"/>
      <c r="AE58" s="878"/>
      <c r="AF58" s="878"/>
      <c r="AG58" s="878"/>
      <c r="AH58" s="878"/>
      <c r="AI58" s="878"/>
      <c r="AJ58" s="878"/>
      <c r="AK58" s="878"/>
      <c r="AL58" s="878"/>
      <c r="AM58" s="878"/>
      <c r="AN58" s="878"/>
      <c r="AO58" s="878"/>
      <c r="AP58" s="878"/>
      <c r="AQ58" s="878"/>
      <c r="AR58" s="1285" t="s">
        <v>1149</v>
      </c>
    </row>
    <row r="59" spans="1:44" s="312" customFormat="1" ht="45.6" customHeight="1" thickBot="1" x14ac:dyDescent="0.3">
      <c r="A59" s="1254"/>
      <c r="B59" s="1248"/>
      <c r="C59" s="1781"/>
      <c r="D59" s="1398"/>
      <c r="E59" s="1266"/>
      <c r="F59" s="1398"/>
      <c r="G59" s="1256"/>
      <c r="H59" s="2170"/>
      <c r="I59" s="2164"/>
      <c r="J59" s="1635"/>
      <c r="K59" s="910">
        <f>3810</f>
        <v>3810</v>
      </c>
      <c r="L59" s="539" t="s">
        <v>3</v>
      </c>
      <c r="M59" s="1643"/>
      <c r="N59" s="310"/>
      <c r="O59" s="928"/>
      <c r="P59" s="928"/>
      <c r="Q59" s="928"/>
      <c r="R59" s="928"/>
      <c r="S59" s="897"/>
      <c r="T59" s="878"/>
      <c r="U59" s="878"/>
      <c r="V59" s="878"/>
      <c r="W59" s="878"/>
      <c r="X59" s="878"/>
      <c r="Y59" s="878"/>
      <c r="Z59" s="878"/>
      <c r="AA59" s="878"/>
      <c r="AB59" s="878"/>
      <c r="AC59" s="878"/>
      <c r="AD59" s="878"/>
      <c r="AE59" s="878"/>
      <c r="AF59" s="878"/>
      <c r="AG59" s="878"/>
      <c r="AH59" s="878"/>
      <c r="AI59" s="878"/>
      <c r="AJ59" s="878"/>
      <c r="AK59" s="878"/>
      <c r="AL59" s="878"/>
      <c r="AM59" s="878"/>
      <c r="AN59" s="878"/>
      <c r="AO59" s="878"/>
      <c r="AP59" s="878"/>
      <c r="AQ59" s="878"/>
      <c r="AR59" s="1213"/>
    </row>
    <row r="60" spans="1:44" s="312" customFormat="1" ht="41.85" customHeight="1" x14ac:dyDescent="0.25">
      <c r="A60" s="1262">
        <v>17</v>
      </c>
      <c r="B60" s="1247" t="s">
        <v>286</v>
      </c>
      <c r="C60" s="1808" t="s">
        <v>468</v>
      </c>
      <c r="D60" s="1397">
        <v>1.1559999999999999</v>
      </c>
      <c r="E60" s="1931">
        <f>9136</f>
        <v>9136</v>
      </c>
      <c r="F60" s="1397">
        <v>1.1559999999999999</v>
      </c>
      <c r="G60" s="1927">
        <f>9136</f>
        <v>9136</v>
      </c>
      <c r="H60" s="2169" t="s">
        <v>441</v>
      </c>
      <c r="I60" s="1935" t="s">
        <v>1150</v>
      </c>
      <c r="J60" s="1634" t="s">
        <v>43</v>
      </c>
      <c r="K60" s="905">
        <v>1.1559999999999999</v>
      </c>
      <c r="L60" s="927" t="s">
        <v>2</v>
      </c>
      <c r="M60" s="1642">
        <v>7843.1508000000003</v>
      </c>
      <c r="N60" s="310"/>
      <c r="O60" s="928"/>
      <c r="P60" s="928"/>
      <c r="Q60" s="928"/>
      <c r="R60" s="928"/>
      <c r="S60" s="897"/>
      <c r="T60" s="878"/>
      <c r="U60" s="878"/>
      <c r="V60" s="878"/>
      <c r="W60" s="878"/>
      <c r="X60" s="878"/>
      <c r="Y60" s="878"/>
      <c r="Z60" s="878"/>
      <c r="AA60" s="878"/>
      <c r="AB60" s="878"/>
      <c r="AC60" s="878"/>
      <c r="AD60" s="878"/>
      <c r="AE60" s="878"/>
      <c r="AF60" s="878"/>
      <c r="AG60" s="878"/>
      <c r="AH60" s="878"/>
      <c r="AI60" s="878"/>
      <c r="AJ60" s="878"/>
      <c r="AK60" s="878"/>
      <c r="AL60" s="878"/>
      <c r="AM60" s="878"/>
      <c r="AN60" s="878"/>
      <c r="AO60" s="878"/>
      <c r="AP60" s="878"/>
      <c r="AQ60" s="878"/>
      <c r="AR60" s="1285" t="s">
        <v>1148</v>
      </c>
    </row>
    <row r="61" spans="1:44" s="312" customFormat="1" ht="41.85" customHeight="1" thickBot="1" x14ac:dyDescent="0.3">
      <c r="A61" s="1254"/>
      <c r="B61" s="1248"/>
      <c r="C61" s="1781"/>
      <c r="D61" s="1398"/>
      <c r="E61" s="1932"/>
      <c r="F61" s="1398"/>
      <c r="G61" s="1928"/>
      <c r="H61" s="2170"/>
      <c r="I61" s="1941"/>
      <c r="J61" s="1635"/>
      <c r="K61" s="788">
        <f>9136</f>
        <v>9136</v>
      </c>
      <c r="L61" s="539" t="s">
        <v>3</v>
      </c>
      <c r="M61" s="1643"/>
      <c r="N61" s="310"/>
      <c r="O61" s="928"/>
      <c r="P61" s="928"/>
      <c r="Q61" s="928"/>
      <c r="R61" s="928"/>
      <c r="S61" s="897"/>
      <c r="T61" s="878"/>
      <c r="U61" s="878"/>
      <c r="V61" s="878"/>
      <c r="W61" s="878"/>
      <c r="X61" s="878"/>
      <c r="Y61" s="878"/>
      <c r="Z61" s="878"/>
      <c r="AA61" s="878"/>
      <c r="AB61" s="878"/>
      <c r="AC61" s="878"/>
      <c r="AD61" s="878"/>
      <c r="AE61" s="878"/>
      <c r="AF61" s="878"/>
      <c r="AG61" s="878"/>
      <c r="AH61" s="878"/>
      <c r="AI61" s="878"/>
      <c r="AJ61" s="878"/>
      <c r="AK61" s="878"/>
      <c r="AL61" s="878"/>
      <c r="AM61" s="878"/>
      <c r="AN61" s="878"/>
      <c r="AO61" s="878"/>
      <c r="AP61" s="878"/>
      <c r="AQ61" s="878"/>
      <c r="AR61" s="1213"/>
    </row>
    <row r="62" spans="1:44" s="312" customFormat="1" ht="54" customHeight="1" x14ac:dyDescent="0.25">
      <c r="A62" s="1262">
        <v>18</v>
      </c>
      <c r="B62" s="1247" t="s">
        <v>287</v>
      </c>
      <c r="C62" s="1808" t="s">
        <v>64</v>
      </c>
      <c r="D62" s="1397">
        <v>0.45700000000000002</v>
      </c>
      <c r="E62" s="1929">
        <f>3731</f>
        <v>3731</v>
      </c>
      <c r="F62" s="1397">
        <v>0.45700000000000002</v>
      </c>
      <c r="G62" s="1255">
        <f>3731</f>
        <v>3731</v>
      </c>
      <c r="H62" s="1933" t="s">
        <v>441</v>
      </c>
      <c r="I62" s="1935" t="s">
        <v>1152</v>
      </c>
      <c r="J62" s="1634" t="s">
        <v>43</v>
      </c>
      <c r="K62" s="905">
        <v>0.45700000000000002</v>
      </c>
      <c r="L62" s="927" t="s">
        <v>2</v>
      </c>
      <c r="M62" s="1642">
        <v>3438.2460000000001</v>
      </c>
      <c r="N62" s="310"/>
      <c r="O62" s="928"/>
      <c r="P62" s="928"/>
      <c r="Q62" s="928"/>
      <c r="R62" s="928"/>
      <c r="S62" s="897"/>
      <c r="T62" s="878"/>
      <c r="U62" s="878"/>
      <c r="V62" s="878"/>
      <c r="W62" s="878"/>
      <c r="X62" s="878"/>
      <c r="Y62" s="878"/>
      <c r="Z62" s="878"/>
      <c r="AA62" s="878"/>
      <c r="AB62" s="878"/>
      <c r="AC62" s="878"/>
      <c r="AD62" s="878"/>
      <c r="AE62" s="878"/>
      <c r="AF62" s="878"/>
      <c r="AG62" s="878"/>
      <c r="AH62" s="878"/>
      <c r="AI62" s="878"/>
      <c r="AJ62" s="878"/>
      <c r="AK62" s="878"/>
      <c r="AL62" s="878"/>
      <c r="AM62" s="878"/>
      <c r="AN62" s="878"/>
      <c r="AO62" s="878"/>
      <c r="AP62" s="878"/>
      <c r="AQ62" s="878"/>
      <c r="AR62" s="1285" t="s">
        <v>1151</v>
      </c>
    </row>
    <row r="63" spans="1:44" s="312" customFormat="1" ht="54" customHeight="1" thickBot="1" x14ac:dyDescent="0.3">
      <c r="A63" s="1253"/>
      <c r="B63" s="1298"/>
      <c r="C63" s="1699"/>
      <c r="D63" s="1543"/>
      <c r="E63" s="1265"/>
      <c r="F63" s="1543"/>
      <c r="G63" s="1346"/>
      <c r="H63" s="1934"/>
      <c r="I63" s="1936"/>
      <c r="J63" s="1962"/>
      <c r="K63" s="1025">
        <f>3731</f>
        <v>3731</v>
      </c>
      <c r="L63" s="1160" t="s">
        <v>3</v>
      </c>
      <c r="M63" s="2146"/>
      <c r="N63" s="310"/>
      <c r="O63" s="928"/>
      <c r="P63" s="928"/>
      <c r="Q63" s="928"/>
      <c r="R63" s="928"/>
      <c r="S63" s="897"/>
      <c r="T63" s="878"/>
      <c r="U63" s="878"/>
      <c r="V63" s="878"/>
      <c r="W63" s="878"/>
      <c r="X63" s="878"/>
      <c r="Y63" s="878"/>
      <c r="Z63" s="878"/>
      <c r="AA63" s="878"/>
      <c r="AB63" s="878"/>
      <c r="AC63" s="878"/>
      <c r="AD63" s="878"/>
      <c r="AE63" s="878"/>
      <c r="AF63" s="878"/>
      <c r="AG63" s="878"/>
      <c r="AH63" s="878"/>
      <c r="AI63" s="878"/>
      <c r="AJ63" s="878"/>
      <c r="AK63" s="878"/>
      <c r="AL63" s="878"/>
      <c r="AM63" s="878"/>
      <c r="AN63" s="878"/>
      <c r="AO63" s="878"/>
      <c r="AP63" s="878"/>
      <c r="AQ63" s="878"/>
      <c r="AR63" s="1213"/>
    </row>
    <row r="64" spans="1:44" s="312" customFormat="1" ht="28.9" customHeight="1" x14ac:dyDescent="0.25">
      <c r="A64" s="1262">
        <v>19</v>
      </c>
      <c r="B64" s="1247" t="s">
        <v>288</v>
      </c>
      <c r="C64" s="1808" t="s">
        <v>65</v>
      </c>
      <c r="D64" s="1397">
        <v>0.76300000000000001</v>
      </c>
      <c r="E64" s="1929">
        <f>4615</f>
        <v>4615</v>
      </c>
      <c r="F64" s="1397">
        <v>0.76300000000000001</v>
      </c>
      <c r="G64" s="1255">
        <f>4615</f>
        <v>4615</v>
      </c>
      <c r="H64" s="1933" t="s">
        <v>441</v>
      </c>
      <c r="I64" s="1935" t="s">
        <v>1154</v>
      </c>
      <c r="J64" s="1634" t="s">
        <v>43</v>
      </c>
      <c r="K64" s="905">
        <v>0.76300000000000001</v>
      </c>
      <c r="L64" s="927" t="s">
        <v>2</v>
      </c>
      <c r="M64" s="2167">
        <f>11244.6936-M66</f>
        <v>7431.5136000000002</v>
      </c>
      <c r="N64" s="310"/>
      <c r="O64" s="928"/>
      <c r="P64" s="928"/>
      <c r="Q64" s="928"/>
      <c r="R64" s="928"/>
      <c r="S64" s="897"/>
      <c r="T64" s="878"/>
      <c r="U64" s="878"/>
      <c r="V64" s="878"/>
      <c r="W64" s="878"/>
      <c r="X64" s="878"/>
      <c r="Y64" s="878"/>
      <c r="Z64" s="878"/>
      <c r="AA64" s="878"/>
      <c r="AB64" s="878"/>
      <c r="AC64" s="878"/>
      <c r="AD64" s="878"/>
      <c r="AE64" s="878"/>
      <c r="AF64" s="878"/>
      <c r="AG64" s="878"/>
      <c r="AH64" s="878"/>
      <c r="AI64" s="878"/>
      <c r="AJ64" s="878"/>
      <c r="AK64" s="878"/>
      <c r="AL64" s="878"/>
      <c r="AM64" s="878"/>
      <c r="AN64" s="878"/>
      <c r="AO64" s="878"/>
      <c r="AP64" s="878"/>
      <c r="AQ64" s="878"/>
      <c r="AR64" s="1285" t="s">
        <v>1153</v>
      </c>
    </row>
    <row r="65" spans="1:44" s="312" customFormat="1" ht="28.9" customHeight="1" x14ac:dyDescent="0.25">
      <c r="A65" s="1253"/>
      <c r="B65" s="1298"/>
      <c r="C65" s="1699"/>
      <c r="D65" s="1543"/>
      <c r="E65" s="1265"/>
      <c r="F65" s="1543"/>
      <c r="G65" s="1346"/>
      <c r="H65" s="1934"/>
      <c r="I65" s="1936"/>
      <c r="J65" s="2166"/>
      <c r="K65" s="897">
        <f>4615</f>
        <v>4615</v>
      </c>
      <c r="L65" s="1039" t="s">
        <v>3</v>
      </c>
      <c r="M65" s="2168"/>
      <c r="N65" s="310"/>
      <c r="O65" s="928"/>
      <c r="P65" s="928"/>
      <c r="Q65" s="928"/>
      <c r="R65" s="928"/>
      <c r="S65" s="897"/>
      <c r="T65" s="878"/>
      <c r="U65" s="878"/>
      <c r="V65" s="878"/>
      <c r="W65" s="878"/>
      <c r="X65" s="878"/>
      <c r="Y65" s="878"/>
      <c r="Z65" s="878"/>
      <c r="AA65" s="878"/>
      <c r="AB65" s="878"/>
      <c r="AC65" s="878"/>
      <c r="AD65" s="878"/>
      <c r="AE65" s="878"/>
      <c r="AF65" s="878"/>
      <c r="AG65" s="878"/>
      <c r="AH65" s="878"/>
      <c r="AI65" s="878"/>
      <c r="AJ65" s="878"/>
      <c r="AK65" s="878"/>
      <c r="AL65" s="878"/>
      <c r="AM65" s="878"/>
      <c r="AN65" s="878"/>
      <c r="AO65" s="878"/>
      <c r="AP65" s="878"/>
      <c r="AQ65" s="878"/>
      <c r="AR65" s="1220"/>
    </row>
    <row r="66" spans="1:44" s="312" customFormat="1" ht="28.9" customHeight="1" thickBot="1" x14ac:dyDescent="0.3">
      <c r="A66" s="1254"/>
      <c r="B66" s="1248"/>
      <c r="C66" s="1781"/>
      <c r="D66" s="1398"/>
      <c r="E66" s="1266"/>
      <c r="F66" s="1398"/>
      <c r="G66" s="1256"/>
      <c r="H66" s="1939"/>
      <c r="I66" s="1941"/>
      <c r="J66" s="1098" t="s">
        <v>11</v>
      </c>
      <c r="K66" s="910">
        <v>2586</v>
      </c>
      <c r="L66" s="539" t="s">
        <v>3</v>
      </c>
      <c r="M66" s="1089">
        <v>3813.18</v>
      </c>
      <c r="N66" s="310"/>
      <c r="O66" s="928"/>
      <c r="P66" s="928"/>
      <c r="Q66" s="928"/>
      <c r="R66" s="928"/>
      <c r="S66" s="897"/>
      <c r="T66" s="878"/>
      <c r="U66" s="878"/>
      <c r="V66" s="878"/>
      <c r="W66" s="878"/>
      <c r="X66" s="878"/>
      <c r="Y66" s="878"/>
      <c r="Z66" s="878"/>
      <c r="AA66" s="878"/>
      <c r="AB66" s="878"/>
      <c r="AC66" s="878"/>
      <c r="AD66" s="878"/>
      <c r="AE66" s="878"/>
      <c r="AF66" s="878"/>
      <c r="AG66" s="878"/>
      <c r="AH66" s="878"/>
      <c r="AI66" s="878"/>
      <c r="AJ66" s="878"/>
      <c r="AK66" s="878"/>
      <c r="AL66" s="878"/>
      <c r="AM66" s="878"/>
      <c r="AN66" s="878"/>
      <c r="AO66" s="878"/>
      <c r="AP66" s="878"/>
      <c r="AQ66" s="878"/>
      <c r="AR66" s="1213"/>
    </row>
    <row r="67" spans="1:44" s="312" customFormat="1" ht="32.85" customHeight="1" x14ac:dyDescent="0.25">
      <c r="A67" s="1262">
        <v>20</v>
      </c>
      <c r="B67" s="1247" t="s">
        <v>289</v>
      </c>
      <c r="C67" s="1808" t="s">
        <v>66</v>
      </c>
      <c r="D67" s="1397">
        <v>0.628</v>
      </c>
      <c r="E67" s="1929">
        <f>4144.8+195.6</f>
        <v>4340.4000000000005</v>
      </c>
      <c r="F67" s="1397">
        <v>0.628</v>
      </c>
      <c r="G67" s="1929">
        <f>4144.8+195.6</f>
        <v>4340.4000000000005</v>
      </c>
      <c r="H67" s="1933" t="s">
        <v>441</v>
      </c>
      <c r="I67" s="1935" t="s">
        <v>1115</v>
      </c>
      <c r="J67" s="1634" t="s">
        <v>43</v>
      </c>
      <c r="K67" s="905">
        <v>0.628</v>
      </c>
      <c r="L67" s="927" t="s">
        <v>2</v>
      </c>
      <c r="M67" s="1642">
        <f>8648.4132-2918.41555</f>
        <v>5729.9976500000012</v>
      </c>
      <c r="N67" s="317"/>
      <c r="O67" s="928"/>
      <c r="P67" s="928"/>
      <c r="Q67" s="928"/>
      <c r="R67" s="928"/>
      <c r="S67" s="897"/>
      <c r="T67" s="878"/>
      <c r="U67" s="878"/>
      <c r="V67" s="878"/>
      <c r="W67" s="878"/>
      <c r="X67" s="878"/>
      <c r="Y67" s="878"/>
      <c r="Z67" s="878"/>
      <c r="AA67" s="878"/>
      <c r="AB67" s="878"/>
      <c r="AC67" s="878"/>
      <c r="AD67" s="878"/>
      <c r="AE67" s="878"/>
      <c r="AF67" s="878"/>
      <c r="AG67" s="878"/>
      <c r="AH67" s="878"/>
      <c r="AI67" s="878"/>
      <c r="AJ67" s="878"/>
      <c r="AK67" s="878"/>
      <c r="AL67" s="878"/>
      <c r="AM67" s="878"/>
      <c r="AN67" s="878"/>
      <c r="AO67" s="878"/>
      <c r="AP67" s="878"/>
      <c r="AQ67" s="878"/>
      <c r="AR67" s="1285" t="s">
        <v>1155</v>
      </c>
    </row>
    <row r="68" spans="1:44" s="312" customFormat="1" ht="18.600000000000001" customHeight="1" thickBot="1" x14ac:dyDescent="0.3">
      <c r="A68" s="1254"/>
      <c r="B68" s="1248"/>
      <c r="C68" s="1781"/>
      <c r="D68" s="1398"/>
      <c r="E68" s="1266"/>
      <c r="F68" s="1398"/>
      <c r="G68" s="1266"/>
      <c r="H68" s="1939"/>
      <c r="I68" s="1941"/>
      <c r="J68" s="1635"/>
      <c r="K68" s="929">
        <f>4144.8+195.6</f>
        <v>4340.4000000000005</v>
      </c>
      <c r="L68" s="539" t="s">
        <v>3</v>
      </c>
      <c r="M68" s="1643"/>
      <c r="N68" s="310"/>
      <c r="O68" s="928"/>
      <c r="P68" s="928"/>
      <c r="Q68" s="928"/>
      <c r="R68" s="928"/>
      <c r="S68" s="897"/>
      <c r="T68" s="878"/>
      <c r="U68" s="878"/>
      <c r="V68" s="878"/>
      <c r="W68" s="878"/>
      <c r="X68" s="878"/>
      <c r="Y68" s="878"/>
      <c r="Z68" s="878"/>
      <c r="AA68" s="878"/>
      <c r="AB68" s="878"/>
      <c r="AC68" s="878"/>
      <c r="AD68" s="878"/>
      <c r="AE68" s="878"/>
      <c r="AF68" s="878"/>
      <c r="AG68" s="878"/>
      <c r="AH68" s="878"/>
      <c r="AI68" s="878"/>
      <c r="AJ68" s="878"/>
      <c r="AK68" s="878"/>
      <c r="AL68" s="878"/>
      <c r="AM68" s="878"/>
      <c r="AN68" s="878"/>
      <c r="AO68" s="878"/>
      <c r="AP68" s="878"/>
      <c r="AQ68" s="878"/>
      <c r="AR68" s="1213"/>
    </row>
    <row r="69" spans="1:44" s="312" customFormat="1" ht="43.7" customHeight="1" x14ac:dyDescent="0.25">
      <c r="A69" s="1262">
        <v>21</v>
      </c>
      <c r="B69" s="1247" t="s">
        <v>290</v>
      </c>
      <c r="C69" s="1808" t="s">
        <v>67</v>
      </c>
      <c r="D69" s="1397">
        <v>0.35</v>
      </c>
      <c r="E69" s="1929">
        <f>4889</f>
        <v>4889</v>
      </c>
      <c r="F69" s="1397">
        <v>0.35</v>
      </c>
      <c r="G69" s="1255">
        <f>4889</f>
        <v>4889</v>
      </c>
      <c r="H69" s="1933" t="s">
        <v>441</v>
      </c>
      <c r="I69" s="1935" t="s">
        <v>1157</v>
      </c>
      <c r="J69" s="1634" t="s">
        <v>43</v>
      </c>
      <c r="K69" s="905">
        <v>0.35</v>
      </c>
      <c r="L69" s="927" t="s">
        <v>2</v>
      </c>
      <c r="M69" s="1642">
        <v>6314.5295999999998</v>
      </c>
      <c r="N69" s="310"/>
      <c r="O69" s="928"/>
      <c r="P69" s="928"/>
      <c r="Q69" s="928"/>
      <c r="R69" s="928"/>
      <c r="S69" s="897"/>
      <c r="T69" s="878"/>
      <c r="U69" s="878"/>
      <c r="V69" s="878"/>
      <c r="W69" s="878"/>
      <c r="X69" s="878"/>
      <c r="Y69" s="878"/>
      <c r="Z69" s="878"/>
      <c r="AA69" s="878"/>
      <c r="AB69" s="878"/>
      <c r="AC69" s="878"/>
      <c r="AD69" s="878"/>
      <c r="AE69" s="878"/>
      <c r="AF69" s="878"/>
      <c r="AG69" s="878"/>
      <c r="AH69" s="878"/>
      <c r="AI69" s="878"/>
      <c r="AJ69" s="878"/>
      <c r="AK69" s="878"/>
      <c r="AL69" s="878"/>
      <c r="AM69" s="878"/>
      <c r="AN69" s="878"/>
      <c r="AO69" s="878"/>
      <c r="AP69" s="878"/>
      <c r="AQ69" s="878"/>
      <c r="AR69" s="1285" t="s">
        <v>1156</v>
      </c>
    </row>
    <row r="70" spans="1:44" s="312" customFormat="1" ht="43.7" customHeight="1" thickBot="1" x14ac:dyDescent="0.3">
      <c r="A70" s="1254"/>
      <c r="B70" s="1248"/>
      <c r="C70" s="1781"/>
      <c r="D70" s="1398"/>
      <c r="E70" s="1266"/>
      <c r="F70" s="1398"/>
      <c r="G70" s="1256"/>
      <c r="H70" s="1939"/>
      <c r="I70" s="1941"/>
      <c r="J70" s="1635"/>
      <c r="K70" s="910">
        <f>4889</f>
        <v>4889</v>
      </c>
      <c r="L70" s="539" t="s">
        <v>3</v>
      </c>
      <c r="M70" s="1643"/>
      <c r="N70" s="310"/>
      <c r="O70" s="928"/>
      <c r="P70" s="928"/>
      <c r="Q70" s="928"/>
      <c r="R70" s="928"/>
      <c r="S70" s="897"/>
      <c r="T70" s="878"/>
      <c r="U70" s="878"/>
      <c r="V70" s="878"/>
      <c r="W70" s="878"/>
      <c r="X70" s="878"/>
      <c r="Y70" s="878"/>
      <c r="Z70" s="878"/>
      <c r="AA70" s="878"/>
      <c r="AB70" s="878"/>
      <c r="AC70" s="878"/>
      <c r="AD70" s="878"/>
      <c r="AE70" s="878"/>
      <c r="AF70" s="878"/>
      <c r="AG70" s="878"/>
      <c r="AH70" s="878"/>
      <c r="AI70" s="878"/>
      <c r="AJ70" s="878"/>
      <c r="AK70" s="878"/>
      <c r="AL70" s="878"/>
      <c r="AM70" s="878"/>
      <c r="AN70" s="878"/>
      <c r="AO70" s="878"/>
      <c r="AP70" s="878"/>
      <c r="AQ70" s="878"/>
      <c r="AR70" s="1213"/>
    </row>
    <row r="71" spans="1:44" s="312" customFormat="1" ht="38.65" customHeight="1" x14ac:dyDescent="0.25">
      <c r="A71" s="1262">
        <v>22</v>
      </c>
      <c r="B71" s="1247" t="s">
        <v>291</v>
      </c>
      <c r="C71" s="1808" t="s">
        <v>68</v>
      </c>
      <c r="D71" s="1397">
        <v>0.753</v>
      </c>
      <c r="E71" s="1929">
        <f>9138.6</f>
        <v>9138.6</v>
      </c>
      <c r="F71" s="1397">
        <v>0.753</v>
      </c>
      <c r="G71" s="1255">
        <f>9138.6</f>
        <v>9138.6</v>
      </c>
      <c r="H71" s="1933" t="s">
        <v>441</v>
      </c>
      <c r="I71" s="1933" t="s">
        <v>1159</v>
      </c>
      <c r="J71" s="1634" t="s">
        <v>43</v>
      </c>
      <c r="K71" s="905">
        <v>0.753</v>
      </c>
      <c r="L71" s="927" t="s">
        <v>2</v>
      </c>
      <c r="M71" s="1642">
        <v>8894.7072000000007</v>
      </c>
      <c r="N71" s="310"/>
      <c r="O71" s="928"/>
      <c r="P71" s="928"/>
      <c r="Q71" s="928"/>
      <c r="R71" s="928"/>
      <c r="S71" s="897"/>
      <c r="T71" s="878"/>
      <c r="U71" s="878"/>
      <c r="V71" s="878"/>
      <c r="W71" s="878"/>
      <c r="X71" s="878"/>
      <c r="Y71" s="878"/>
      <c r="Z71" s="878"/>
      <c r="AA71" s="878"/>
      <c r="AB71" s="878"/>
      <c r="AC71" s="878"/>
      <c r="AD71" s="878"/>
      <c r="AE71" s="878"/>
      <c r="AF71" s="878"/>
      <c r="AG71" s="878"/>
      <c r="AH71" s="878"/>
      <c r="AI71" s="878"/>
      <c r="AJ71" s="878"/>
      <c r="AK71" s="878"/>
      <c r="AL71" s="878"/>
      <c r="AM71" s="878"/>
      <c r="AN71" s="878"/>
      <c r="AO71" s="878"/>
      <c r="AP71" s="878"/>
      <c r="AQ71" s="878"/>
      <c r="AR71" s="1285" t="s">
        <v>1158</v>
      </c>
    </row>
    <row r="72" spans="1:44" s="312" customFormat="1" ht="38.65" customHeight="1" thickBot="1" x14ac:dyDescent="0.3">
      <c r="A72" s="1254"/>
      <c r="B72" s="1248"/>
      <c r="C72" s="1781"/>
      <c r="D72" s="1398"/>
      <c r="E72" s="1266"/>
      <c r="F72" s="1398"/>
      <c r="G72" s="1256"/>
      <c r="H72" s="1939"/>
      <c r="I72" s="1934"/>
      <c r="J72" s="1635"/>
      <c r="K72" s="910">
        <f>9138.6</f>
        <v>9138.6</v>
      </c>
      <c r="L72" s="539" t="s">
        <v>3</v>
      </c>
      <c r="M72" s="1643"/>
      <c r="N72" s="310"/>
      <c r="O72" s="928"/>
      <c r="P72" s="928"/>
      <c r="Q72" s="928"/>
      <c r="R72" s="928"/>
      <c r="S72" s="897"/>
      <c r="T72" s="878"/>
      <c r="U72" s="878"/>
      <c r="V72" s="878"/>
      <c r="W72" s="878"/>
      <c r="X72" s="878"/>
      <c r="Y72" s="878"/>
      <c r="Z72" s="878"/>
      <c r="AA72" s="878"/>
      <c r="AB72" s="878"/>
      <c r="AC72" s="878"/>
      <c r="AD72" s="878"/>
      <c r="AE72" s="878"/>
      <c r="AF72" s="878"/>
      <c r="AG72" s="878"/>
      <c r="AH72" s="878"/>
      <c r="AI72" s="878"/>
      <c r="AJ72" s="878"/>
      <c r="AK72" s="878"/>
      <c r="AL72" s="878"/>
      <c r="AM72" s="878"/>
      <c r="AN72" s="878"/>
      <c r="AO72" s="878"/>
      <c r="AP72" s="878"/>
      <c r="AQ72" s="878"/>
      <c r="AR72" s="1213"/>
    </row>
    <row r="73" spans="1:44" s="312" customFormat="1" ht="81.75" customHeight="1" x14ac:dyDescent="0.25">
      <c r="A73" s="1262">
        <v>23</v>
      </c>
      <c r="B73" s="1247" t="s">
        <v>292</v>
      </c>
      <c r="C73" s="1808" t="s">
        <v>69</v>
      </c>
      <c r="D73" s="1397">
        <v>4.931</v>
      </c>
      <c r="E73" s="1931">
        <f>28459</f>
        <v>28459</v>
      </c>
      <c r="F73" s="1397">
        <v>4.931</v>
      </c>
      <c r="G73" s="1927">
        <f>28459</f>
        <v>28459</v>
      </c>
      <c r="H73" s="1933" t="s">
        <v>441</v>
      </c>
      <c r="I73" s="1935" t="s">
        <v>1161</v>
      </c>
      <c r="J73" s="1634" t="s">
        <v>43</v>
      </c>
      <c r="K73" s="930">
        <v>4.33</v>
      </c>
      <c r="L73" s="927" t="s">
        <v>2</v>
      </c>
      <c r="M73" s="1642">
        <v>33222.670420000002</v>
      </c>
      <c r="N73" s="310"/>
      <c r="O73" s="928"/>
      <c r="P73" s="928"/>
      <c r="Q73" s="928"/>
      <c r="R73" s="928"/>
      <c r="S73" s="897"/>
      <c r="T73" s="878"/>
      <c r="U73" s="878"/>
      <c r="V73" s="878"/>
      <c r="W73" s="878"/>
      <c r="X73" s="878"/>
      <c r="Y73" s="878"/>
      <c r="Z73" s="878"/>
      <c r="AA73" s="878"/>
      <c r="AB73" s="878"/>
      <c r="AC73" s="878"/>
      <c r="AD73" s="878"/>
      <c r="AE73" s="878"/>
      <c r="AF73" s="878"/>
      <c r="AG73" s="878"/>
      <c r="AH73" s="878"/>
      <c r="AI73" s="878"/>
      <c r="AJ73" s="878"/>
      <c r="AK73" s="878"/>
      <c r="AL73" s="878"/>
      <c r="AM73" s="878"/>
      <c r="AN73" s="878"/>
      <c r="AO73" s="878"/>
      <c r="AP73" s="878"/>
      <c r="AQ73" s="878"/>
      <c r="AR73" s="1285" t="s">
        <v>1160</v>
      </c>
    </row>
    <row r="74" spans="1:44" s="312" customFormat="1" ht="81.75" customHeight="1" thickBot="1" x14ac:dyDescent="0.3">
      <c r="A74" s="1254"/>
      <c r="B74" s="1248"/>
      <c r="C74" s="1781"/>
      <c r="D74" s="1398"/>
      <c r="E74" s="1932"/>
      <c r="F74" s="1398"/>
      <c r="G74" s="1928"/>
      <c r="H74" s="1938"/>
      <c r="I74" s="1940"/>
      <c r="J74" s="1942"/>
      <c r="K74" s="1080">
        <f>24590</f>
        <v>24590</v>
      </c>
      <c r="L74" s="1161" t="s">
        <v>3</v>
      </c>
      <c r="M74" s="2147"/>
      <c r="N74" s="318"/>
      <c r="O74" s="1078"/>
      <c r="P74" s="1078"/>
      <c r="Q74" s="1078"/>
      <c r="R74" s="1078"/>
      <c r="S74" s="102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965"/>
      <c r="AL74" s="965"/>
      <c r="AM74" s="965"/>
      <c r="AN74" s="965"/>
      <c r="AO74" s="965"/>
      <c r="AP74" s="965"/>
      <c r="AQ74" s="965"/>
      <c r="AR74" s="1213"/>
    </row>
    <row r="75" spans="1:44" s="313" customFormat="1" ht="50.25" customHeight="1" x14ac:dyDescent="0.25">
      <c r="A75" s="1252">
        <f>A73+1</f>
        <v>24</v>
      </c>
      <c r="B75" s="2255" t="s">
        <v>318</v>
      </c>
      <c r="C75" s="2255" t="s">
        <v>697</v>
      </c>
      <c r="D75" s="2155">
        <v>5.2649999999999997</v>
      </c>
      <c r="E75" s="2158">
        <f>40715</f>
        <v>40715</v>
      </c>
      <c r="F75" s="2155">
        <v>5.2649999999999997</v>
      </c>
      <c r="G75" s="2152">
        <f>40715</f>
        <v>40715</v>
      </c>
      <c r="H75" s="2148" t="s">
        <v>441</v>
      </c>
      <c r="I75" s="2149" t="s">
        <v>1163</v>
      </c>
      <c r="J75" s="2150" t="s">
        <v>5</v>
      </c>
      <c r="K75" s="840">
        <v>4.7220000000000004</v>
      </c>
      <c r="L75" s="1132" t="s">
        <v>2</v>
      </c>
      <c r="M75" s="2151">
        <v>48552.884400000003</v>
      </c>
      <c r="N75" s="310"/>
      <c r="O75" s="928"/>
      <c r="P75" s="928"/>
      <c r="Q75" s="928"/>
      <c r="R75" s="928"/>
      <c r="S75" s="897"/>
      <c r="T75" s="878"/>
      <c r="U75" s="878"/>
      <c r="V75" s="878"/>
      <c r="W75" s="878"/>
      <c r="X75" s="878"/>
      <c r="Y75" s="878"/>
      <c r="Z75" s="878"/>
      <c r="AA75" s="878"/>
      <c r="AB75" s="878"/>
      <c r="AC75" s="878"/>
      <c r="AD75" s="878"/>
      <c r="AE75" s="878"/>
      <c r="AF75" s="878"/>
      <c r="AG75" s="878"/>
      <c r="AH75" s="878"/>
      <c r="AI75" s="878"/>
      <c r="AJ75" s="878"/>
      <c r="AK75" s="878"/>
      <c r="AL75" s="878"/>
      <c r="AM75" s="878"/>
      <c r="AN75" s="878"/>
      <c r="AO75" s="878"/>
      <c r="AP75" s="878"/>
      <c r="AQ75" s="878"/>
      <c r="AR75" s="1285" t="s">
        <v>1162</v>
      </c>
    </row>
    <row r="76" spans="1:44" s="313" customFormat="1" ht="50.25" customHeight="1" x14ac:dyDescent="0.25">
      <c r="A76" s="1253"/>
      <c r="B76" s="2128"/>
      <c r="C76" s="2128"/>
      <c r="D76" s="2156"/>
      <c r="E76" s="2159"/>
      <c r="F76" s="2156"/>
      <c r="G76" s="2153"/>
      <c r="H76" s="2148"/>
      <c r="I76" s="2149"/>
      <c r="J76" s="2150"/>
      <c r="K76" s="841">
        <f>36060</f>
        <v>36060</v>
      </c>
      <c r="L76" s="1132" t="s">
        <v>4</v>
      </c>
      <c r="M76" s="2151"/>
      <c r="N76" s="310"/>
      <c r="O76" s="928"/>
      <c r="P76" s="928"/>
      <c r="Q76" s="928"/>
      <c r="R76" s="928"/>
      <c r="S76" s="897"/>
      <c r="T76" s="878"/>
      <c r="U76" s="878"/>
      <c r="V76" s="878"/>
      <c r="W76" s="878"/>
      <c r="X76" s="878"/>
      <c r="Y76" s="878"/>
      <c r="Z76" s="878"/>
      <c r="AA76" s="878"/>
      <c r="AB76" s="878"/>
      <c r="AC76" s="878"/>
      <c r="AD76" s="878"/>
      <c r="AE76" s="878"/>
      <c r="AF76" s="878"/>
      <c r="AG76" s="878"/>
      <c r="AH76" s="878"/>
      <c r="AI76" s="878"/>
      <c r="AJ76" s="878"/>
      <c r="AK76" s="878"/>
      <c r="AL76" s="878"/>
      <c r="AM76" s="878"/>
      <c r="AN76" s="878"/>
      <c r="AO76" s="878"/>
      <c r="AP76" s="878"/>
      <c r="AQ76" s="878"/>
      <c r="AR76" s="1213"/>
    </row>
    <row r="77" spans="1:44" s="839" customFormat="1" ht="87" customHeight="1" thickBot="1" x14ac:dyDescent="0.3">
      <c r="A77" s="1254"/>
      <c r="B77" s="2257"/>
      <c r="C77" s="2257"/>
      <c r="D77" s="2157"/>
      <c r="E77" s="2160"/>
      <c r="F77" s="2157"/>
      <c r="G77" s="2154"/>
      <c r="H77" s="836"/>
      <c r="I77" s="1004"/>
      <c r="J77" s="1126"/>
      <c r="K77" s="837"/>
      <c r="L77" s="1004"/>
      <c r="M77" s="838"/>
      <c r="N77" s="310"/>
      <c r="O77" s="1132"/>
      <c r="P77" s="1132"/>
      <c r="Q77" s="1132"/>
      <c r="R77" s="1132"/>
      <c r="S77" s="1133"/>
      <c r="T77" s="2420" t="s">
        <v>1571</v>
      </c>
      <c r="U77" s="2420" t="s">
        <v>1571</v>
      </c>
      <c r="V77" s="878" t="s">
        <v>1046</v>
      </c>
      <c r="W77" s="878">
        <v>1</v>
      </c>
      <c r="X77" s="878" t="s">
        <v>8</v>
      </c>
      <c r="Y77" s="2421">
        <v>485.7</v>
      </c>
      <c r="Z77" s="1131"/>
      <c r="AA77" s="1131"/>
      <c r="AB77" s="1131"/>
      <c r="AC77" s="1131"/>
      <c r="AD77" s="1131"/>
      <c r="AE77" s="1131"/>
      <c r="AF77" s="1131"/>
      <c r="AG77" s="1131"/>
      <c r="AH77" s="1131"/>
      <c r="AI77" s="1131"/>
      <c r="AJ77" s="1131"/>
      <c r="AK77" s="1131"/>
      <c r="AL77" s="1131"/>
      <c r="AM77" s="1131"/>
      <c r="AN77" s="1131"/>
      <c r="AO77" s="1131"/>
      <c r="AP77" s="1131"/>
      <c r="AQ77" s="1131"/>
      <c r="AR77" s="1003"/>
    </row>
    <row r="78" spans="1:44" s="313" customFormat="1" ht="25.7" customHeight="1" x14ac:dyDescent="0.25">
      <c r="A78" s="1252">
        <f>A75+1</f>
        <v>25</v>
      </c>
      <c r="B78" s="2255" t="s">
        <v>313</v>
      </c>
      <c r="C78" s="2255" t="s">
        <v>1522</v>
      </c>
      <c r="D78" s="2155">
        <v>2.0449999999999999</v>
      </c>
      <c r="E78" s="2158">
        <v>15250</v>
      </c>
      <c r="F78" s="2155">
        <v>2.0449999999999999</v>
      </c>
      <c r="G78" s="2152">
        <v>15250</v>
      </c>
      <c r="H78" s="2158" t="s">
        <v>1165</v>
      </c>
      <c r="I78" s="2158" t="s">
        <v>1166</v>
      </c>
      <c r="J78" s="2129" t="s">
        <v>5</v>
      </c>
      <c r="K78" s="905">
        <v>1.095</v>
      </c>
      <c r="L78" s="927" t="s">
        <v>2</v>
      </c>
      <c r="M78" s="1222">
        <f>13530.5004-M80</f>
        <v>13000.7196</v>
      </c>
      <c r="N78" s="310"/>
      <c r="O78" s="928"/>
      <c r="P78" s="928"/>
      <c r="Q78" s="928"/>
      <c r="R78" s="928"/>
      <c r="S78" s="897"/>
      <c r="T78" s="878"/>
      <c r="U78" s="878"/>
      <c r="V78" s="878"/>
      <c r="W78" s="878"/>
      <c r="X78" s="878"/>
      <c r="Y78" s="878"/>
      <c r="Z78" s="878"/>
      <c r="AA78" s="878"/>
      <c r="AB78" s="878"/>
      <c r="AC78" s="878"/>
      <c r="AD78" s="878"/>
      <c r="AE78" s="878"/>
      <c r="AF78" s="878"/>
      <c r="AG78" s="878"/>
      <c r="AH78" s="878"/>
      <c r="AI78" s="878"/>
      <c r="AJ78" s="878"/>
      <c r="AK78" s="878"/>
      <c r="AL78" s="878"/>
      <c r="AM78" s="878"/>
      <c r="AN78" s="878"/>
      <c r="AO78" s="878"/>
      <c r="AP78" s="878"/>
      <c r="AQ78" s="878"/>
      <c r="AR78" s="1285" t="s">
        <v>1164</v>
      </c>
    </row>
    <row r="79" spans="1:44" s="313" customFormat="1" ht="25.7" customHeight="1" x14ac:dyDescent="0.25">
      <c r="A79" s="1253"/>
      <c r="B79" s="2128"/>
      <c r="C79" s="2128"/>
      <c r="D79" s="2156"/>
      <c r="E79" s="2159"/>
      <c r="F79" s="2156"/>
      <c r="G79" s="2153"/>
      <c r="H79" s="2159"/>
      <c r="I79" s="2159"/>
      <c r="J79" s="2130"/>
      <c r="K79" s="405">
        <f>7814.5</f>
        <v>7814.5</v>
      </c>
      <c r="L79" s="928" t="s">
        <v>4</v>
      </c>
      <c r="M79" s="1223"/>
      <c r="N79" s="310"/>
      <c r="O79" s="928"/>
      <c r="P79" s="928"/>
      <c r="Q79" s="928"/>
      <c r="R79" s="928"/>
      <c r="S79" s="897"/>
      <c r="T79" s="878"/>
      <c r="U79" s="878"/>
      <c r="V79" s="878"/>
      <c r="W79" s="878"/>
      <c r="X79" s="878"/>
      <c r="Y79" s="878"/>
      <c r="Z79" s="878"/>
      <c r="AA79" s="878"/>
      <c r="AB79" s="878"/>
      <c r="AC79" s="878"/>
      <c r="AD79" s="878"/>
      <c r="AE79" s="878"/>
      <c r="AF79" s="878"/>
      <c r="AG79" s="878"/>
      <c r="AH79" s="878"/>
      <c r="AI79" s="878"/>
      <c r="AJ79" s="878"/>
      <c r="AK79" s="878"/>
      <c r="AL79" s="878"/>
      <c r="AM79" s="878"/>
      <c r="AN79" s="878"/>
      <c r="AO79" s="878"/>
      <c r="AP79" s="878"/>
      <c r="AQ79" s="878"/>
      <c r="AR79" s="1220"/>
    </row>
    <row r="80" spans="1:44" s="313" customFormat="1" ht="25.7" customHeight="1" x14ac:dyDescent="0.25">
      <c r="A80" s="1253"/>
      <c r="B80" s="2128"/>
      <c r="C80" s="2128"/>
      <c r="D80" s="2156"/>
      <c r="E80" s="2159"/>
      <c r="F80" s="2156"/>
      <c r="G80" s="2153"/>
      <c r="H80" s="2159"/>
      <c r="I80" s="2159"/>
      <c r="J80" s="1131" t="s">
        <v>11</v>
      </c>
      <c r="K80" s="1133">
        <v>207.04</v>
      </c>
      <c r="L80" s="1132" t="s">
        <v>4</v>
      </c>
      <c r="M80" s="1133">
        <v>529.7808</v>
      </c>
      <c r="N80" s="310"/>
      <c r="O80" s="928"/>
      <c r="P80" s="928"/>
      <c r="Q80" s="928"/>
      <c r="R80" s="928"/>
      <c r="S80" s="897"/>
      <c r="T80" s="878"/>
      <c r="U80" s="878"/>
      <c r="V80" s="878"/>
      <c r="W80" s="878"/>
      <c r="X80" s="878"/>
      <c r="Y80" s="878"/>
      <c r="Z80" s="878"/>
      <c r="AA80" s="878"/>
      <c r="AB80" s="878"/>
      <c r="AC80" s="878"/>
      <c r="AD80" s="878"/>
      <c r="AE80" s="878"/>
      <c r="AF80" s="878"/>
      <c r="AG80" s="878"/>
      <c r="AH80" s="878"/>
      <c r="AI80" s="878"/>
      <c r="AJ80" s="878"/>
      <c r="AK80" s="878"/>
      <c r="AL80" s="878"/>
      <c r="AM80" s="878"/>
      <c r="AN80" s="878"/>
      <c r="AO80" s="878"/>
      <c r="AP80" s="878"/>
      <c r="AQ80" s="878"/>
      <c r="AR80" s="1213"/>
    </row>
    <row r="81" spans="1:44 1025:1025" s="839" customFormat="1" ht="25.7" customHeight="1" x14ac:dyDescent="0.25">
      <c r="A81" s="1253"/>
      <c r="B81" s="2128"/>
      <c r="C81" s="2128"/>
      <c r="D81" s="2156"/>
      <c r="E81" s="2159"/>
      <c r="F81" s="2156"/>
      <c r="G81" s="2153"/>
      <c r="H81" s="2159"/>
      <c r="I81" s="2159"/>
      <c r="J81" s="1131"/>
      <c r="K81" s="1133"/>
      <c r="L81" s="1132"/>
      <c r="M81" s="1133"/>
      <c r="N81" s="310"/>
      <c r="O81" s="1132"/>
      <c r="P81" s="1132"/>
      <c r="Q81" s="1132"/>
      <c r="R81" s="1132"/>
      <c r="S81" s="1133"/>
      <c r="T81" s="1131"/>
      <c r="U81" s="1131"/>
      <c r="V81" s="1131"/>
      <c r="W81" s="1131"/>
      <c r="X81" s="1131"/>
      <c r="Y81" s="1131"/>
      <c r="Z81" s="2091" t="s">
        <v>1541</v>
      </c>
      <c r="AA81" s="2091" t="s">
        <v>1542</v>
      </c>
      <c r="AB81" s="2091" t="s">
        <v>5</v>
      </c>
      <c r="AC81" s="1120">
        <v>0.90200000000000002</v>
      </c>
      <c r="AD81" s="1120" t="s">
        <v>2</v>
      </c>
      <c r="AE81" s="2089">
        <v>33461.906040000002</v>
      </c>
      <c r="AF81" s="1131"/>
      <c r="AG81" s="1131"/>
      <c r="AH81" s="1131"/>
      <c r="AI81" s="1131"/>
      <c r="AJ81" s="1131"/>
      <c r="AK81" s="1131"/>
      <c r="AL81" s="1131"/>
      <c r="AM81" s="1131"/>
      <c r="AN81" s="1131"/>
      <c r="AO81" s="1131"/>
      <c r="AP81" s="1131"/>
      <c r="AQ81" s="1131"/>
      <c r="AR81" s="1003"/>
    </row>
    <row r="82" spans="1:44 1025:1025" s="839" customFormat="1" ht="25.7" customHeight="1" x14ac:dyDescent="0.25">
      <c r="A82" s="1253"/>
      <c r="B82" s="2128"/>
      <c r="C82" s="2128"/>
      <c r="D82" s="2156"/>
      <c r="E82" s="2159"/>
      <c r="F82" s="2156"/>
      <c r="G82" s="2153"/>
      <c r="H82" s="2159"/>
      <c r="I82" s="2159"/>
      <c r="J82" s="1131"/>
      <c r="K82" s="1133"/>
      <c r="L82" s="1132"/>
      <c r="M82" s="1133"/>
      <c r="N82" s="310"/>
      <c r="O82" s="1132"/>
      <c r="P82" s="1132"/>
      <c r="Q82" s="1132"/>
      <c r="R82" s="1132"/>
      <c r="S82" s="1133"/>
      <c r="T82" s="1131"/>
      <c r="U82" s="1131"/>
      <c r="V82" s="1131"/>
      <c r="W82" s="1131"/>
      <c r="X82" s="1131"/>
      <c r="Y82" s="1131"/>
      <c r="Z82" s="2092"/>
      <c r="AA82" s="2092"/>
      <c r="AB82" s="2092"/>
      <c r="AC82" s="787">
        <v>10050</v>
      </c>
      <c r="AD82" s="1120" t="s">
        <v>4</v>
      </c>
      <c r="AE82" s="2090"/>
      <c r="AF82" s="1131"/>
      <c r="AG82" s="1131"/>
      <c r="AH82" s="1131"/>
      <c r="AI82" s="1131"/>
      <c r="AJ82" s="1131"/>
      <c r="AK82" s="1131"/>
      <c r="AL82" s="1131"/>
      <c r="AM82" s="1131"/>
      <c r="AN82" s="1131"/>
      <c r="AO82" s="1131"/>
      <c r="AP82" s="1131"/>
      <c r="AQ82" s="1131"/>
      <c r="AR82" s="1003"/>
    </row>
    <row r="83" spans="1:44 1025:1025" s="839" customFormat="1" ht="88.5" customHeight="1" x14ac:dyDescent="0.25">
      <c r="A83" s="1253"/>
      <c r="B83" s="2128"/>
      <c r="C83" s="2128"/>
      <c r="D83" s="2156"/>
      <c r="E83" s="2159"/>
      <c r="F83" s="2156"/>
      <c r="G83" s="2153"/>
      <c r="H83" s="2159"/>
      <c r="I83" s="2159"/>
      <c r="J83" s="1131"/>
      <c r="K83" s="1133"/>
      <c r="L83" s="1132"/>
      <c r="M83" s="1133"/>
      <c r="N83" s="310"/>
      <c r="O83" s="1132"/>
      <c r="P83" s="1132"/>
      <c r="Q83" s="1132"/>
      <c r="R83" s="1132"/>
      <c r="S83" s="1133"/>
      <c r="T83" s="2420" t="s">
        <v>1572</v>
      </c>
      <c r="U83" s="2420" t="s">
        <v>1572</v>
      </c>
      <c r="V83" s="878" t="s">
        <v>1046</v>
      </c>
      <c r="W83" s="878">
        <v>1</v>
      </c>
      <c r="X83" s="878" t="s">
        <v>8</v>
      </c>
      <c r="Y83" s="2421">
        <v>525.70000000000005</v>
      </c>
      <c r="Z83" s="1131"/>
      <c r="AA83" s="1131"/>
      <c r="AB83" s="1131"/>
      <c r="AC83" s="1131"/>
      <c r="AD83" s="1131"/>
      <c r="AE83" s="1131"/>
      <c r="AF83" s="1131"/>
      <c r="AG83" s="1131"/>
      <c r="AH83" s="1131"/>
      <c r="AI83" s="1131"/>
      <c r="AJ83" s="1131"/>
      <c r="AK83" s="1131"/>
      <c r="AL83" s="1131"/>
      <c r="AM83" s="1131"/>
      <c r="AN83" s="1131"/>
      <c r="AO83" s="1131"/>
      <c r="AP83" s="1131"/>
      <c r="AQ83" s="1131"/>
      <c r="AR83" s="1003"/>
    </row>
    <row r="84" spans="1:44 1025:1025" s="839" customFormat="1" ht="88.5" customHeight="1" thickBot="1" x14ac:dyDescent="0.3">
      <c r="A84" s="1254"/>
      <c r="B84" s="2257"/>
      <c r="C84" s="2257"/>
      <c r="D84" s="2157"/>
      <c r="E84" s="2160"/>
      <c r="F84" s="2157"/>
      <c r="G84" s="2154"/>
      <c r="H84" s="2160"/>
      <c r="I84" s="2160"/>
      <c r="J84" s="1131"/>
      <c r="K84" s="1133"/>
      <c r="L84" s="1132"/>
      <c r="M84" s="1133"/>
      <c r="N84" s="310"/>
      <c r="O84" s="1132"/>
      <c r="P84" s="1132"/>
      <c r="Q84" s="1132"/>
      <c r="R84" s="1132"/>
      <c r="S84" s="1133"/>
      <c r="T84" s="2420" t="s">
        <v>1573</v>
      </c>
      <c r="U84" s="2420" t="s">
        <v>1573</v>
      </c>
      <c r="V84" s="878" t="s">
        <v>1046</v>
      </c>
      <c r="W84" s="878">
        <v>1</v>
      </c>
      <c r="X84" s="878" t="s">
        <v>8</v>
      </c>
      <c r="Y84" s="2421">
        <v>525.70000000000005</v>
      </c>
      <c r="Z84" s="1131"/>
      <c r="AA84" s="1131"/>
      <c r="AB84" s="1131"/>
      <c r="AC84" s="1131"/>
      <c r="AD84" s="1131"/>
      <c r="AE84" s="1131"/>
      <c r="AF84" s="1131"/>
      <c r="AG84" s="1131"/>
      <c r="AH84" s="1131"/>
      <c r="AI84" s="1131"/>
      <c r="AJ84" s="1131"/>
      <c r="AK84" s="1131"/>
      <c r="AL84" s="1131"/>
      <c r="AM84" s="1131"/>
      <c r="AN84" s="1131"/>
      <c r="AO84" s="1131"/>
      <c r="AP84" s="1131"/>
      <c r="AQ84" s="1131"/>
      <c r="AR84" s="1003"/>
    </row>
    <row r="85" spans="1:44 1025:1025" s="313" customFormat="1" ht="34.15" customHeight="1" x14ac:dyDescent="0.25">
      <c r="A85" s="1262">
        <v>26</v>
      </c>
      <c r="B85" s="1283" t="s">
        <v>315</v>
      </c>
      <c r="C85" s="1916" t="s">
        <v>166</v>
      </c>
      <c r="D85" s="1257">
        <v>1.903</v>
      </c>
      <c r="E85" s="1228">
        <f>30064</f>
        <v>30064</v>
      </c>
      <c r="F85" s="1257">
        <v>1.903</v>
      </c>
      <c r="G85" s="1333">
        <f>30064</f>
        <v>30064</v>
      </c>
      <c r="H85" s="1228" t="s">
        <v>1168</v>
      </c>
      <c r="I85" s="1228" t="s">
        <v>1169</v>
      </c>
      <c r="J85" s="2165" t="s">
        <v>5</v>
      </c>
      <c r="K85" s="996">
        <v>1.8080000000000001</v>
      </c>
      <c r="L85" s="1081" t="s">
        <v>2</v>
      </c>
      <c r="M85" s="1276">
        <f>33309.696-M87</f>
        <v>31364.728060000005</v>
      </c>
      <c r="N85" s="310"/>
      <c r="O85" s="928"/>
      <c r="P85" s="928"/>
      <c r="Q85" s="928"/>
      <c r="R85" s="928"/>
      <c r="S85" s="897"/>
      <c r="T85" s="878"/>
      <c r="U85" s="878"/>
      <c r="V85" s="878"/>
      <c r="W85" s="878"/>
      <c r="X85" s="878"/>
      <c r="Y85" s="878"/>
      <c r="Z85" s="878"/>
      <c r="AA85" s="878"/>
      <c r="AB85" s="878"/>
      <c r="AC85" s="878"/>
      <c r="AD85" s="878"/>
      <c r="AE85" s="878"/>
      <c r="AF85" s="878"/>
      <c r="AG85" s="878"/>
      <c r="AH85" s="878"/>
      <c r="AI85" s="878"/>
      <c r="AJ85" s="878"/>
      <c r="AK85" s="878"/>
      <c r="AL85" s="878"/>
      <c r="AM85" s="878"/>
      <c r="AN85" s="878"/>
      <c r="AO85" s="878"/>
      <c r="AP85" s="878"/>
      <c r="AQ85" s="878"/>
      <c r="AR85" s="1285" t="s">
        <v>1167</v>
      </c>
    </row>
    <row r="86" spans="1:44 1025:1025" s="313" customFormat="1" ht="34.15" customHeight="1" x14ac:dyDescent="0.25">
      <c r="A86" s="1253"/>
      <c r="B86" s="1284"/>
      <c r="C86" s="1917"/>
      <c r="D86" s="1258"/>
      <c r="E86" s="1229"/>
      <c r="F86" s="1258"/>
      <c r="G86" s="1334"/>
      <c r="H86" s="1229"/>
      <c r="I86" s="1229"/>
      <c r="J86" s="2130"/>
      <c r="K86" s="897">
        <f>28829</f>
        <v>28829</v>
      </c>
      <c r="L86" s="928" t="s">
        <v>4</v>
      </c>
      <c r="M86" s="1223"/>
      <c r="N86" s="310"/>
      <c r="O86" s="928"/>
      <c r="P86" s="928"/>
      <c r="Q86" s="928"/>
      <c r="R86" s="928"/>
      <c r="S86" s="897"/>
      <c r="T86" s="878"/>
      <c r="U86" s="878"/>
      <c r="V86" s="878"/>
      <c r="W86" s="878"/>
      <c r="X86" s="878"/>
      <c r="Y86" s="878"/>
      <c r="Z86" s="878"/>
      <c r="AA86" s="878"/>
      <c r="AB86" s="878"/>
      <c r="AC86" s="878"/>
      <c r="AD86" s="878"/>
      <c r="AE86" s="878"/>
      <c r="AF86" s="878"/>
      <c r="AG86" s="878"/>
      <c r="AH86" s="878"/>
      <c r="AI86" s="878"/>
      <c r="AJ86" s="878"/>
      <c r="AK86" s="878"/>
      <c r="AL86" s="878"/>
      <c r="AM86" s="878"/>
      <c r="AN86" s="878"/>
      <c r="AO86" s="878"/>
      <c r="AP86" s="878"/>
      <c r="AQ86" s="878"/>
      <c r="AR86" s="1220"/>
    </row>
    <row r="87" spans="1:44 1025:1025" s="312" customFormat="1" ht="34.15" customHeight="1" thickBot="1" x14ac:dyDescent="0.3">
      <c r="A87" s="1254"/>
      <c r="B87" s="1915"/>
      <c r="C87" s="1918"/>
      <c r="D87" s="2043"/>
      <c r="E87" s="1230"/>
      <c r="F87" s="2043"/>
      <c r="G87" s="1368"/>
      <c r="H87" s="1230"/>
      <c r="I87" s="1230"/>
      <c r="J87" s="885" t="s">
        <v>11</v>
      </c>
      <c r="K87" s="910">
        <v>678.8</v>
      </c>
      <c r="L87" s="929" t="s">
        <v>4</v>
      </c>
      <c r="M87" s="912">
        <v>1944.96794</v>
      </c>
      <c r="N87" s="321"/>
      <c r="O87" s="1081"/>
      <c r="P87" s="1081"/>
      <c r="Q87" s="1081"/>
      <c r="R87" s="1081"/>
      <c r="S87" s="898"/>
      <c r="T87" s="911"/>
      <c r="U87" s="911"/>
      <c r="V87" s="911"/>
      <c r="W87" s="911"/>
      <c r="X87" s="911"/>
      <c r="Y87" s="911"/>
      <c r="Z87" s="911"/>
      <c r="AA87" s="911"/>
      <c r="AB87" s="911"/>
      <c r="AC87" s="911"/>
      <c r="AD87" s="911"/>
      <c r="AE87" s="911"/>
      <c r="AF87" s="911"/>
      <c r="AG87" s="911"/>
      <c r="AH87" s="911"/>
      <c r="AI87" s="911"/>
      <c r="AJ87" s="911"/>
      <c r="AK87" s="911"/>
      <c r="AL87" s="911"/>
      <c r="AM87" s="911"/>
      <c r="AN87" s="911"/>
      <c r="AO87" s="911"/>
      <c r="AP87" s="911"/>
      <c r="AQ87" s="911"/>
      <c r="AR87" s="1213"/>
    </row>
    <row r="88" spans="1:44 1025:1025" s="312" customFormat="1" ht="56.65" customHeight="1" x14ac:dyDescent="0.25">
      <c r="A88" s="1262">
        <v>27</v>
      </c>
      <c r="B88" s="1283" t="s">
        <v>455</v>
      </c>
      <c r="C88" s="1916" t="s">
        <v>698</v>
      </c>
      <c r="D88" s="1257">
        <v>0.98599999999999999</v>
      </c>
      <c r="E88" s="1228">
        <f>7044.12</f>
        <v>7044.12</v>
      </c>
      <c r="F88" s="1257">
        <v>0.98599999999999999</v>
      </c>
      <c r="G88" s="1333">
        <v>7044.1200000000008</v>
      </c>
      <c r="H88" s="1933" t="s">
        <v>441</v>
      </c>
      <c r="I88" s="1246" t="s">
        <v>1171</v>
      </c>
      <c r="J88" s="2129" t="s">
        <v>5</v>
      </c>
      <c r="K88" s="905">
        <v>0.98599999999999999</v>
      </c>
      <c r="L88" s="927" t="s">
        <v>2</v>
      </c>
      <c r="M88" s="1250">
        <f>7313.712+325.1328</f>
        <v>7638.8448000000008</v>
      </c>
      <c r="N88" s="321"/>
      <c r="O88" s="1081"/>
      <c r="P88" s="1081"/>
      <c r="Q88" s="1081"/>
      <c r="R88" s="1081"/>
      <c r="S88" s="898"/>
      <c r="T88" s="911"/>
      <c r="U88" s="911"/>
      <c r="V88" s="911"/>
      <c r="W88" s="911"/>
      <c r="X88" s="911"/>
      <c r="Y88" s="911"/>
      <c r="Z88" s="911"/>
      <c r="AA88" s="911"/>
      <c r="AB88" s="911"/>
      <c r="AC88" s="911"/>
      <c r="AD88" s="911"/>
      <c r="AE88" s="911"/>
      <c r="AF88" s="911"/>
      <c r="AG88" s="911"/>
      <c r="AH88" s="911"/>
      <c r="AI88" s="911"/>
      <c r="AJ88" s="911"/>
      <c r="AK88" s="911"/>
      <c r="AL88" s="911"/>
      <c r="AM88" s="911"/>
      <c r="AN88" s="911"/>
      <c r="AO88" s="911"/>
      <c r="AP88" s="911"/>
      <c r="AQ88" s="911"/>
      <c r="AR88" s="1285" t="s">
        <v>1170</v>
      </c>
    </row>
    <row r="89" spans="1:44 1025:1025" s="312" customFormat="1" ht="56.65" customHeight="1" thickBot="1" x14ac:dyDescent="0.3">
      <c r="A89" s="1254"/>
      <c r="B89" s="1915"/>
      <c r="C89" s="1918"/>
      <c r="D89" s="2043"/>
      <c r="E89" s="1230"/>
      <c r="F89" s="2043"/>
      <c r="G89" s="1368"/>
      <c r="H89" s="1934"/>
      <c r="I89" s="1220"/>
      <c r="J89" s="1764"/>
      <c r="K89" s="910">
        <f>6463.6+580.52</f>
        <v>7044.1200000000008</v>
      </c>
      <c r="L89" s="929" t="s">
        <v>4</v>
      </c>
      <c r="M89" s="1251"/>
      <c r="N89" s="321"/>
      <c r="O89" s="1081"/>
      <c r="P89" s="1081"/>
      <c r="Q89" s="1081"/>
      <c r="R89" s="1081"/>
      <c r="S89" s="898"/>
      <c r="T89" s="911"/>
      <c r="U89" s="911"/>
      <c r="V89" s="911"/>
      <c r="W89" s="911"/>
      <c r="X89" s="911"/>
      <c r="Y89" s="911"/>
      <c r="Z89" s="911"/>
      <c r="AA89" s="911"/>
      <c r="AB89" s="911"/>
      <c r="AC89" s="911"/>
      <c r="AD89" s="911"/>
      <c r="AE89" s="911"/>
      <c r="AF89" s="911"/>
      <c r="AG89" s="911"/>
      <c r="AH89" s="911"/>
      <c r="AI89" s="911"/>
      <c r="AJ89" s="911"/>
      <c r="AK89" s="911"/>
      <c r="AL89" s="911"/>
      <c r="AM89" s="911"/>
      <c r="AN89" s="911"/>
      <c r="AO89" s="911"/>
      <c r="AP89" s="911"/>
      <c r="AQ89" s="911"/>
      <c r="AR89" s="1213"/>
    </row>
    <row r="90" spans="1:44 1025:1025" s="312" customFormat="1" ht="79.7" customHeight="1" x14ac:dyDescent="0.25">
      <c r="A90" s="1262">
        <v>28</v>
      </c>
      <c r="B90" s="1246">
        <v>3407140</v>
      </c>
      <c r="C90" s="1794" t="s">
        <v>1071</v>
      </c>
      <c r="D90" s="1348">
        <v>5.5060000000000002</v>
      </c>
      <c r="E90" s="1795">
        <v>42657</v>
      </c>
      <c r="F90" s="1348">
        <v>5.5060000000000002</v>
      </c>
      <c r="G90" s="1587">
        <v>42657</v>
      </c>
      <c r="H90" s="1120" t="s">
        <v>441</v>
      </c>
      <c r="I90" s="1120" t="s">
        <v>1176</v>
      </c>
      <c r="J90" s="1782" t="s">
        <v>5</v>
      </c>
      <c r="K90" s="905">
        <v>4.0430000000000001</v>
      </c>
      <c r="L90" s="1070" t="s">
        <v>2</v>
      </c>
      <c r="M90" s="2108">
        <v>44332.23</v>
      </c>
      <c r="N90" s="320"/>
      <c r="O90" s="1120"/>
      <c r="P90" s="1120"/>
      <c r="Q90" s="906"/>
      <c r="R90" s="1120"/>
      <c r="S90" s="650"/>
      <c r="T90" s="911"/>
      <c r="U90" s="911"/>
      <c r="V90" s="911"/>
      <c r="W90" s="911"/>
      <c r="X90" s="911"/>
      <c r="Y90" s="911"/>
      <c r="Z90" s="911"/>
      <c r="AA90" s="911"/>
      <c r="AB90" s="911"/>
      <c r="AC90" s="911"/>
      <c r="AD90" s="911"/>
      <c r="AE90" s="911"/>
      <c r="AF90" s="911"/>
      <c r="AG90" s="911"/>
      <c r="AH90" s="911"/>
      <c r="AI90" s="911"/>
      <c r="AJ90" s="911"/>
      <c r="AK90" s="911"/>
      <c r="AL90" s="911"/>
      <c r="AM90" s="911"/>
      <c r="AN90" s="911"/>
      <c r="AO90" s="911"/>
      <c r="AP90" s="911"/>
      <c r="AQ90" s="911"/>
      <c r="AR90" s="1233" t="s">
        <v>1175</v>
      </c>
    </row>
    <row r="91" spans="1:44 1025:1025" s="312" customFormat="1" ht="72" customHeight="1" thickBot="1" x14ac:dyDescent="0.3">
      <c r="A91" s="1253"/>
      <c r="B91" s="1220"/>
      <c r="C91" s="1633"/>
      <c r="D91" s="1576"/>
      <c r="E91" s="1557"/>
      <c r="F91" s="1576"/>
      <c r="G91" s="1559"/>
      <c r="H91" s="1120" t="s">
        <v>1177</v>
      </c>
      <c r="I91" s="1120" t="s">
        <v>1178</v>
      </c>
      <c r="J91" s="1783"/>
      <c r="K91" s="997">
        <v>32937.17</v>
      </c>
      <c r="L91" s="1057" t="s">
        <v>4</v>
      </c>
      <c r="M91" s="2109"/>
      <c r="N91" s="320"/>
      <c r="O91" s="1120"/>
      <c r="P91" s="133"/>
      <c r="Q91" s="892"/>
      <c r="R91" s="1120"/>
      <c r="S91" s="650"/>
      <c r="T91" s="911"/>
      <c r="U91" s="911"/>
      <c r="V91" s="911"/>
      <c r="W91" s="911"/>
      <c r="X91" s="911"/>
      <c r="Y91" s="911"/>
      <c r="Z91" s="911"/>
      <c r="AA91" s="911"/>
      <c r="AB91" s="911"/>
      <c r="AC91" s="911"/>
      <c r="AD91" s="911"/>
      <c r="AE91" s="911"/>
      <c r="AF91" s="911"/>
      <c r="AG91" s="911"/>
      <c r="AH91" s="911"/>
      <c r="AI91" s="911"/>
      <c r="AJ91" s="911"/>
      <c r="AK91" s="911"/>
      <c r="AL91" s="911"/>
      <c r="AM91" s="911"/>
      <c r="AN91" s="911"/>
      <c r="AO91" s="911"/>
      <c r="AP91" s="911"/>
      <c r="AQ91" s="911"/>
      <c r="AR91" s="1233"/>
    </row>
    <row r="92" spans="1:44 1025:1025" s="316" customFormat="1" ht="43.15" customHeight="1" x14ac:dyDescent="0.2">
      <c r="A92" s="2404">
        <v>29</v>
      </c>
      <c r="B92" s="2402" t="s">
        <v>332</v>
      </c>
      <c r="C92" s="2122" t="s">
        <v>185</v>
      </c>
      <c r="D92" s="1919">
        <f>F92</f>
        <v>10.875</v>
      </c>
      <c r="E92" s="1264">
        <f>G92</f>
        <v>181966.97999999998</v>
      </c>
      <c r="F92" s="1919">
        <f>10.995-0.12</f>
        <v>10.875</v>
      </c>
      <c r="G92" s="1264">
        <f>K93+Q98</f>
        <v>181966.97999999998</v>
      </c>
      <c r="H92" s="1783" t="s">
        <v>1173</v>
      </c>
      <c r="I92" s="2092" t="s">
        <v>1174</v>
      </c>
      <c r="J92" s="2086" t="s">
        <v>5</v>
      </c>
      <c r="K92" s="1070">
        <v>4.57</v>
      </c>
      <c r="L92" s="1070" t="s">
        <v>2</v>
      </c>
      <c r="M92" s="2200">
        <f>88611.7908+173630.7267+9138.4593</f>
        <v>271380.9768</v>
      </c>
      <c r="N92" s="322"/>
      <c r="O92" s="290"/>
      <c r="P92" s="290"/>
      <c r="Q92" s="906"/>
      <c r="R92" s="1120"/>
      <c r="S92" s="650"/>
      <c r="T92" s="290"/>
      <c r="U92" s="290"/>
      <c r="V92" s="290"/>
      <c r="W92" s="906"/>
      <c r="X92" s="1120"/>
      <c r="Y92" s="650"/>
      <c r="Z92" s="906"/>
      <c r="AA92" s="906"/>
      <c r="AB92" s="906"/>
      <c r="AC92" s="906"/>
      <c r="AD92" s="314"/>
      <c r="AE92" s="314"/>
      <c r="AF92" s="314"/>
      <c r="AG92" s="314"/>
      <c r="AH92" s="314"/>
      <c r="AI92" s="314"/>
      <c r="AJ92" s="314"/>
      <c r="AK92" s="314"/>
      <c r="AL92" s="314"/>
      <c r="AM92" s="314"/>
      <c r="AN92" s="314"/>
      <c r="AO92" s="314"/>
      <c r="AP92" s="314"/>
      <c r="AQ92" s="314"/>
      <c r="AR92" s="1233" t="s">
        <v>1172</v>
      </c>
      <c r="AMK92" s="315"/>
    </row>
    <row r="93" spans="1:44 1025:1025" s="316" customFormat="1" ht="43.15" customHeight="1" thickBot="1" x14ac:dyDescent="0.25">
      <c r="A93" s="2405"/>
      <c r="B93" s="2106"/>
      <c r="C93" s="1633"/>
      <c r="D93" s="1576"/>
      <c r="E93" s="1265"/>
      <c r="F93" s="1576"/>
      <c r="G93" s="1265"/>
      <c r="H93" s="1640"/>
      <c r="I93" s="2171"/>
      <c r="J93" s="2171"/>
      <c r="K93" s="398">
        <v>82701</v>
      </c>
      <c r="L93" s="1122" t="s">
        <v>4</v>
      </c>
      <c r="M93" s="2201"/>
      <c r="N93" s="290"/>
      <c r="O93" s="290"/>
      <c r="P93" s="290"/>
      <c r="Q93" s="991"/>
      <c r="R93" s="1057"/>
      <c r="S93" s="1065"/>
      <c r="T93" s="324"/>
      <c r="U93" s="324"/>
      <c r="V93" s="324"/>
      <c r="W93" s="991"/>
      <c r="X93" s="1057"/>
      <c r="Y93" s="1065"/>
      <c r="Z93" s="906"/>
      <c r="AA93" s="906"/>
      <c r="AB93" s="906"/>
      <c r="AC93" s="906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/>
      <c r="AO93" s="399"/>
      <c r="AP93" s="399"/>
      <c r="AQ93" s="314"/>
      <c r="AR93" s="1233"/>
      <c r="AMK93" s="315"/>
    </row>
    <row r="94" spans="1:44 1025:1025" s="316" customFormat="1" ht="21.2" hidden="1" customHeight="1" x14ac:dyDescent="0.2">
      <c r="A94" s="2405"/>
      <c r="B94" s="2106"/>
      <c r="C94" s="1633"/>
      <c r="D94" s="1576"/>
      <c r="E94" s="1265"/>
      <c r="F94" s="1576"/>
      <c r="G94" s="1265"/>
      <c r="H94" s="1069"/>
      <c r="I94" s="1085"/>
      <c r="J94" s="1085"/>
      <c r="K94" s="541"/>
      <c r="L94" s="1085"/>
      <c r="M94" s="418"/>
      <c r="N94" s="290"/>
      <c r="O94" s="290"/>
      <c r="P94" s="290"/>
      <c r="Q94" s="307"/>
      <c r="R94" s="1085"/>
      <c r="S94" s="541"/>
      <c r="T94" s="417"/>
      <c r="U94" s="417"/>
      <c r="V94" s="417"/>
      <c r="W94" s="307"/>
      <c r="X94" s="1085"/>
      <c r="Y94" s="418"/>
      <c r="Z94" s="419"/>
      <c r="AA94" s="1069"/>
      <c r="AB94" s="1069"/>
      <c r="AC94" s="1069"/>
      <c r="AD94" s="420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0"/>
      <c r="AQ94" s="314"/>
      <c r="AR94" s="421"/>
      <c r="AMK94" s="315"/>
    </row>
    <row r="95" spans="1:44 1025:1025" s="316" customFormat="1" ht="36" hidden="1" customHeight="1" x14ac:dyDescent="0.2">
      <c r="A95" s="2405"/>
      <c r="B95" s="2106"/>
      <c r="C95" s="1633"/>
      <c r="D95" s="1576"/>
      <c r="E95" s="1265"/>
      <c r="F95" s="1576"/>
      <c r="G95" s="1265"/>
      <c r="H95" s="906"/>
      <c r="I95" s="1120"/>
      <c r="J95" s="1120"/>
      <c r="K95" s="650"/>
      <c r="L95" s="1120"/>
      <c r="M95" s="1134">
        <f>88611.7908</f>
        <v>88611.790800000002</v>
      </c>
      <c r="N95" s="290"/>
      <c r="O95" s="290"/>
      <c r="P95" s="290"/>
      <c r="Q95" s="307"/>
      <c r="R95" s="1085"/>
      <c r="S95" s="541"/>
      <c r="T95" s="417"/>
      <c r="U95" s="417"/>
      <c r="V95" s="417"/>
      <c r="W95" s="307"/>
      <c r="X95" s="1085"/>
      <c r="Y95" s="418"/>
      <c r="Z95" s="419"/>
      <c r="AA95" s="1069"/>
      <c r="AB95" s="1069"/>
      <c r="AC95" s="1069"/>
      <c r="AD95" s="420"/>
      <c r="AE95" s="420"/>
      <c r="AF95" s="420"/>
      <c r="AG95" s="420"/>
      <c r="AH95" s="420"/>
      <c r="AI95" s="420"/>
      <c r="AJ95" s="420"/>
      <c r="AK95" s="420"/>
      <c r="AL95" s="420"/>
      <c r="AM95" s="420"/>
      <c r="AN95" s="420"/>
      <c r="AO95" s="420"/>
      <c r="AP95" s="420"/>
      <c r="AQ95" s="314"/>
      <c r="AR95" s="421"/>
      <c r="AMK95" s="315"/>
    </row>
    <row r="96" spans="1:44 1025:1025" s="316" customFormat="1" ht="21.2" hidden="1" customHeight="1" thickBot="1" x14ac:dyDescent="0.25">
      <c r="A96" s="2405"/>
      <c r="B96" s="2106"/>
      <c r="C96" s="1633"/>
      <c r="D96" s="1576"/>
      <c r="E96" s="1265"/>
      <c r="F96" s="1576"/>
      <c r="G96" s="1265"/>
      <c r="H96" s="906"/>
      <c r="I96" s="1120"/>
      <c r="J96" s="1120"/>
      <c r="K96" s="650"/>
      <c r="L96" s="1120"/>
      <c r="M96" s="1134">
        <f>173630.7267+9138.4593</f>
        <v>182769.18599999999</v>
      </c>
      <c r="N96" s="324"/>
      <c r="O96" s="324"/>
      <c r="P96" s="324"/>
      <c r="Q96" s="307"/>
      <c r="R96" s="1085"/>
      <c r="S96" s="541"/>
      <c r="T96" s="417"/>
      <c r="U96" s="417"/>
      <c r="V96" s="417"/>
      <c r="W96" s="307"/>
      <c r="X96" s="1085"/>
      <c r="Y96" s="418"/>
      <c r="Z96" s="419"/>
      <c r="AA96" s="1069"/>
      <c r="AB96" s="1069"/>
      <c r="AC96" s="1069"/>
      <c r="AD96" s="420"/>
      <c r="AE96" s="420"/>
      <c r="AF96" s="420"/>
      <c r="AG96" s="420"/>
      <c r="AH96" s="420"/>
      <c r="AI96" s="420"/>
      <c r="AJ96" s="420"/>
      <c r="AK96" s="420"/>
      <c r="AL96" s="420"/>
      <c r="AM96" s="420"/>
      <c r="AN96" s="420"/>
      <c r="AO96" s="420"/>
      <c r="AP96" s="420"/>
      <c r="AQ96" s="314"/>
      <c r="AR96" s="421"/>
      <c r="AMK96" s="315"/>
    </row>
    <row r="97" spans="1:44 1025:1025" s="316" customFormat="1" ht="84.2" customHeight="1" x14ac:dyDescent="0.2">
      <c r="A97" s="2405"/>
      <c r="B97" s="2106"/>
      <c r="C97" s="1633"/>
      <c r="D97" s="1576"/>
      <c r="E97" s="1265"/>
      <c r="F97" s="1576"/>
      <c r="G97" s="1265"/>
      <c r="H97" s="906"/>
      <c r="I97" s="1120"/>
      <c r="J97" s="1120"/>
      <c r="K97" s="1120"/>
      <c r="L97" s="1120"/>
      <c r="M97" s="1134"/>
      <c r="N97" s="2134" t="s">
        <v>441</v>
      </c>
      <c r="O97" s="2131" t="s">
        <v>1411</v>
      </c>
      <c r="P97" s="2086" t="s">
        <v>5</v>
      </c>
      <c r="Q97" s="905">
        <v>6.3049999999999997</v>
      </c>
      <c r="R97" s="1070" t="s">
        <v>2</v>
      </c>
      <c r="S97" s="2124">
        <f>456774.3-S99-S100-S101</f>
        <v>424526.03399999999</v>
      </c>
      <c r="T97" s="579"/>
      <c r="U97" s="579"/>
      <c r="V97" s="579"/>
      <c r="W97" s="579"/>
      <c r="X97" s="579"/>
      <c r="Y97" s="579"/>
      <c r="Z97" s="325"/>
      <c r="AA97" s="996"/>
      <c r="AB97" s="996"/>
      <c r="AC97" s="996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1233" t="s">
        <v>1394</v>
      </c>
      <c r="AMK97" s="315"/>
    </row>
    <row r="98" spans="1:44 1025:1025" s="316" customFormat="1" ht="84.2" customHeight="1" x14ac:dyDescent="0.2">
      <c r="A98" s="2405"/>
      <c r="B98" s="2106"/>
      <c r="C98" s="1633"/>
      <c r="D98" s="1576"/>
      <c r="E98" s="1265"/>
      <c r="F98" s="1576"/>
      <c r="G98" s="1265"/>
      <c r="H98" s="906"/>
      <c r="I98" s="1120"/>
      <c r="J98" s="1120"/>
      <c r="K98" s="1057"/>
      <c r="L98" s="1057"/>
      <c r="M98" s="418"/>
      <c r="N98" s="2135"/>
      <c r="O98" s="2132"/>
      <c r="P98" s="2087"/>
      <c r="Q98" s="897">
        <v>99265.98</v>
      </c>
      <c r="R98" s="1120" t="s">
        <v>4</v>
      </c>
      <c r="S98" s="2125"/>
      <c r="T98" s="579"/>
      <c r="U98" s="579"/>
      <c r="V98" s="579"/>
      <c r="W98" s="579"/>
      <c r="X98" s="579"/>
      <c r="Y98" s="579"/>
      <c r="Z98" s="323"/>
      <c r="AA98" s="906"/>
      <c r="AB98" s="906"/>
      <c r="AC98" s="906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1233"/>
      <c r="AMK98" s="315"/>
    </row>
    <row r="99" spans="1:44 1025:1025" s="316" customFormat="1" ht="25.7" hidden="1" customHeight="1" x14ac:dyDescent="0.2">
      <c r="A99" s="2405"/>
      <c r="B99" s="2106"/>
      <c r="C99" s="1633"/>
      <c r="D99" s="1576"/>
      <c r="E99" s="1265"/>
      <c r="F99" s="1576"/>
      <c r="G99" s="1265"/>
      <c r="H99" s="996"/>
      <c r="I99" s="1058"/>
      <c r="J99" s="1058"/>
      <c r="K99" s="1085"/>
      <c r="L99" s="1085"/>
      <c r="M99" s="507"/>
      <c r="N99" s="2135"/>
      <c r="O99" s="2132"/>
      <c r="P99" s="940" t="s">
        <v>6</v>
      </c>
      <c r="Q99" s="897"/>
      <c r="R99" s="1120" t="s">
        <v>2</v>
      </c>
      <c r="S99" s="561"/>
      <c r="T99" s="1129"/>
      <c r="U99" s="1083"/>
      <c r="V99" s="1085"/>
      <c r="W99" s="307"/>
      <c r="X99" s="1085"/>
      <c r="Y99" s="507"/>
      <c r="Z99" s="323"/>
      <c r="AA99" s="906"/>
      <c r="AB99" s="906"/>
      <c r="AC99" s="906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/>
      <c r="AO99" s="314"/>
      <c r="AP99" s="314"/>
      <c r="AQ99" s="314"/>
      <c r="AR99" s="878"/>
      <c r="AMK99" s="315"/>
    </row>
    <row r="100" spans="1:44 1025:1025" s="316" customFormat="1" ht="38.65" hidden="1" customHeight="1" x14ac:dyDescent="0.2">
      <c r="A100" s="2405"/>
      <c r="B100" s="2106"/>
      <c r="C100" s="1633"/>
      <c r="D100" s="1576"/>
      <c r="E100" s="1265"/>
      <c r="F100" s="1576"/>
      <c r="G100" s="1265"/>
      <c r="H100" s="996"/>
      <c r="I100" s="1058"/>
      <c r="J100" s="1058"/>
      <c r="K100" s="1085"/>
      <c r="L100" s="1085"/>
      <c r="M100" s="507"/>
      <c r="N100" s="2135"/>
      <c r="O100" s="2132"/>
      <c r="P100" s="34" t="s">
        <v>1041</v>
      </c>
      <c r="Q100" s="883"/>
      <c r="R100" s="883" t="s">
        <v>1044</v>
      </c>
      <c r="S100" s="561"/>
      <c r="T100" s="1129"/>
      <c r="U100" s="1083"/>
      <c r="V100" s="1085"/>
      <c r="W100" s="307"/>
      <c r="X100" s="1085"/>
      <c r="Y100" s="507"/>
      <c r="Z100" s="323"/>
      <c r="AA100" s="906"/>
      <c r="AB100" s="906"/>
      <c r="AC100" s="906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878"/>
      <c r="AMK100" s="315"/>
    </row>
    <row r="101" spans="1:44 1025:1025" s="316" customFormat="1" ht="23.1" customHeight="1" thickBot="1" x14ac:dyDescent="0.25">
      <c r="A101" s="2406"/>
      <c r="B101" s="2403"/>
      <c r="C101" s="2123"/>
      <c r="D101" s="1920"/>
      <c r="E101" s="2110"/>
      <c r="F101" s="1920"/>
      <c r="G101" s="2110"/>
      <c r="H101" s="996"/>
      <c r="I101" s="1058"/>
      <c r="J101" s="1058"/>
      <c r="K101" s="1085"/>
      <c r="L101" s="1085"/>
      <c r="M101" s="418"/>
      <c r="N101" s="2136"/>
      <c r="O101" s="2133"/>
      <c r="P101" s="885" t="s">
        <v>11</v>
      </c>
      <c r="Q101" s="884">
        <v>31731.73</v>
      </c>
      <c r="R101" s="884" t="s">
        <v>4</v>
      </c>
      <c r="S101" s="1123">
        <v>32248.266</v>
      </c>
      <c r="T101" s="1136"/>
      <c r="U101" s="1136"/>
      <c r="V101" s="1120"/>
      <c r="W101" s="892"/>
      <c r="X101" s="1120"/>
      <c r="Y101" s="650"/>
      <c r="Z101" s="323"/>
      <c r="AA101" s="906"/>
      <c r="AB101" s="906"/>
      <c r="AC101" s="906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314"/>
      <c r="AQ101" s="314"/>
      <c r="AR101" s="878"/>
      <c r="AMK101" s="315"/>
    </row>
    <row r="102" spans="1:44 1025:1025" s="316" customFormat="1" ht="45.75" customHeight="1" x14ac:dyDescent="0.2">
      <c r="A102" s="1923">
        <v>30</v>
      </c>
      <c r="B102" s="1919" t="s">
        <v>317</v>
      </c>
      <c r="C102" s="2122" t="s">
        <v>169</v>
      </c>
      <c r="D102" s="1919">
        <v>1.054</v>
      </c>
      <c r="E102" s="1921">
        <f>Q103</f>
        <v>16075.32</v>
      </c>
      <c r="F102" s="1919">
        <f>Q102</f>
        <v>1.054</v>
      </c>
      <c r="G102" s="2111">
        <f>Q103</f>
        <v>16075.32</v>
      </c>
      <c r="H102" s="905"/>
      <c r="I102" s="1070"/>
      <c r="J102" s="1070"/>
      <c r="K102" s="1070"/>
      <c r="L102" s="1070"/>
      <c r="M102" s="1070"/>
      <c r="N102" s="2140" t="s">
        <v>441</v>
      </c>
      <c r="O102" s="2114" t="s">
        <v>669</v>
      </c>
      <c r="P102" s="1783" t="s">
        <v>5</v>
      </c>
      <c r="Q102" s="996">
        <v>1.054</v>
      </c>
      <c r="R102" s="1058" t="s">
        <v>2</v>
      </c>
      <c r="S102" s="2205">
        <f>41513.118-S104-S105-S106</f>
        <v>34954.044999999998</v>
      </c>
      <c r="T102" s="906"/>
      <c r="U102" s="906"/>
      <c r="V102" s="906"/>
      <c r="W102" s="906"/>
      <c r="X102" s="906"/>
      <c r="Y102" s="897"/>
      <c r="Z102" s="323"/>
      <c r="AA102" s="906"/>
      <c r="AB102" s="906"/>
      <c r="AC102" s="906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1233" t="s">
        <v>1179</v>
      </c>
      <c r="AMK102" s="315"/>
    </row>
    <row r="103" spans="1:44 1025:1025" s="316" customFormat="1" ht="45.75" customHeight="1" x14ac:dyDescent="0.2">
      <c r="A103" s="1924"/>
      <c r="B103" s="1576"/>
      <c r="C103" s="1633"/>
      <c r="D103" s="1576"/>
      <c r="E103" s="1557"/>
      <c r="F103" s="1576"/>
      <c r="G103" s="1559"/>
      <c r="H103" s="906"/>
      <c r="I103" s="1120"/>
      <c r="J103" s="1120"/>
      <c r="K103" s="1120"/>
      <c r="L103" s="1120"/>
      <c r="M103" s="1120"/>
      <c r="N103" s="2141"/>
      <c r="O103" s="2115"/>
      <c r="P103" s="1783"/>
      <c r="Q103" s="1025">
        <v>16075.32</v>
      </c>
      <c r="R103" s="1057" t="s">
        <v>4</v>
      </c>
      <c r="S103" s="2109"/>
      <c r="T103" s="323"/>
      <c r="U103" s="906"/>
      <c r="V103" s="906"/>
      <c r="W103" s="892"/>
      <c r="X103" s="906"/>
      <c r="Y103" s="897"/>
      <c r="Z103" s="906"/>
      <c r="AA103" s="906"/>
      <c r="AB103" s="906"/>
      <c r="AC103" s="906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1233"/>
      <c r="AMK103" s="315"/>
    </row>
    <row r="104" spans="1:44 1025:1025" s="316" customFormat="1" ht="24.4" hidden="1" customHeight="1" x14ac:dyDescent="0.2">
      <c r="A104" s="1924"/>
      <c r="B104" s="1576"/>
      <c r="C104" s="1633"/>
      <c r="D104" s="1576"/>
      <c r="E104" s="1557"/>
      <c r="F104" s="1576"/>
      <c r="G104" s="1559"/>
      <c r="H104" s="906"/>
      <c r="I104" s="1120"/>
      <c r="J104" s="1120"/>
      <c r="K104" s="1120"/>
      <c r="L104" s="1120"/>
      <c r="M104" s="1120"/>
      <c r="N104" s="2141"/>
      <c r="O104" s="2115"/>
      <c r="P104" s="919" t="s">
        <v>6</v>
      </c>
      <c r="Q104" s="897"/>
      <c r="R104" s="1120" t="s">
        <v>2</v>
      </c>
      <c r="S104" s="650"/>
      <c r="T104" s="323"/>
      <c r="U104" s="906"/>
      <c r="V104" s="906"/>
      <c r="W104" s="892"/>
      <c r="X104" s="906"/>
      <c r="Y104" s="897"/>
      <c r="Z104" s="906"/>
      <c r="AA104" s="906"/>
      <c r="AB104" s="906"/>
      <c r="AC104" s="906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878"/>
      <c r="AMK104" s="315"/>
    </row>
    <row r="105" spans="1:44 1025:1025" s="316" customFormat="1" ht="36.75" hidden="1" customHeight="1" x14ac:dyDescent="0.2">
      <c r="A105" s="1924"/>
      <c r="B105" s="1576"/>
      <c r="C105" s="1633"/>
      <c r="D105" s="1576"/>
      <c r="E105" s="1557"/>
      <c r="F105" s="1576"/>
      <c r="G105" s="1559"/>
      <c r="H105" s="1069"/>
      <c r="I105" s="1085"/>
      <c r="J105" s="1085"/>
      <c r="K105" s="1085"/>
      <c r="L105" s="1085"/>
      <c r="M105" s="1085"/>
      <c r="N105" s="2141"/>
      <c r="O105" s="2115"/>
      <c r="P105" s="34" t="s">
        <v>1041</v>
      </c>
      <c r="Q105" s="883"/>
      <c r="R105" s="883" t="s">
        <v>1044</v>
      </c>
      <c r="S105" s="561"/>
      <c r="T105" s="323"/>
      <c r="U105" s="906"/>
      <c r="V105" s="906"/>
      <c r="W105" s="892"/>
      <c r="X105" s="906"/>
      <c r="Y105" s="897"/>
      <c r="Z105" s="906"/>
      <c r="AA105" s="906"/>
      <c r="AB105" s="906"/>
      <c r="AC105" s="906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878"/>
      <c r="AMK105" s="315"/>
    </row>
    <row r="106" spans="1:44 1025:1025" s="316" customFormat="1" ht="25.15" customHeight="1" thickBot="1" x14ac:dyDescent="0.25">
      <c r="A106" s="1925"/>
      <c r="B106" s="1920"/>
      <c r="C106" s="2123"/>
      <c r="D106" s="1920"/>
      <c r="E106" s="1922"/>
      <c r="F106" s="1920"/>
      <c r="G106" s="1579"/>
      <c r="H106" s="1069"/>
      <c r="I106" s="1085"/>
      <c r="J106" s="1085"/>
      <c r="K106" s="1085"/>
      <c r="L106" s="1085"/>
      <c r="M106" s="1085"/>
      <c r="N106" s="2142"/>
      <c r="O106" s="2116"/>
      <c r="P106" s="885" t="s">
        <v>11</v>
      </c>
      <c r="Q106" s="884">
        <v>7778.69</v>
      </c>
      <c r="R106" s="884" t="s">
        <v>4</v>
      </c>
      <c r="S106" s="562">
        <v>6559.0730000000003</v>
      </c>
      <c r="T106" s="323"/>
      <c r="U106" s="906"/>
      <c r="V106" s="906"/>
      <c r="W106" s="892"/>
      <c r="X106" s="906"/>
      <c r="Y106" s="897"/>
      <c r="Z106" s="906"/>
      <c r="AA106" s="906"/>
      <c r="AB106" s="906"/>
      <c r="AC106" s="906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878"/>
      <c r="AMK106" s="315"/>
    </row>
    <row r="107" spans="1:44 1025:1025" s="316" customFormat="1" ht="45" customHeight="1" x14ac:dyDescent="0.2">
      <c r="A107" s="1923">
        <v>31</v>
      </c>
      <c r="B107" s="1919" t="s">
        <v>320</v>
      </c>
      <c r="C107" s="2122" t="s">
        <v>171</v>
      </c>
      <c r="D107" s="1919">
        <v>1.6539999999999999</v>
      </c>
      <c r="E107" s="1921">
        <f>Q108</f>
        <v>23923.7</v>
      </c>
      <c r="F107" s="1919">
        <f>D107</f>
        <v>1.6539999999999999</v>
      </c>
      <c r="G107" s="2111">
        <f>Q108</f>
        <v>23923.7</v>
      </c>
      <c r="H107" s="905"/>
      <c r="I107" s="1070"/>
      <c r="J107" s="1070"/>
      <c r="K107" s="1070"/>
      <c r="L107" s="1070"/>
      <c r="M107" s="1070"/>
      <c r="N107" s="2114" t="s">
        <v>441</v>
      </c>
      <c r="O107" s="2114" t="s">
        <v>1464</v>
      </c>
      <c r="P107" s="1782" t="s">
        <v>5</v>
      </c>
      <c r="Q107" s="905">
        <v>1.6539999999999999</v>
      </c>
      <c r="R107" s="905" t="s">
        <v>2</v>
      </c>
      <c r="S107" s="1250">
        <f>67676.1888-S109-S110</f>
        <v>59929.566200000001</v>
      </c>
      <c r="T107" s="323"/>
      <c r="U107" s="906"/>
      <c r="V107" s="906"/>
      <c r="W107" s="906"/>
      <c r="X107" s="906"/>
      <c r="Y107" s="897"/>
      <c r="Z107" s="906"/>
      <c r="AA107" s="906"/>
      <c r="AB107" s="906"/>
      <c r="AC107" s="906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1233" t="s">
        <v>1180</v>
      </c>
      <c r="AMK107" s="315"/>
    </row>
    <row r="108" spans="1:44 1025:1025" s="316" customFormat="1" ht="45" customHeight="1" x14ac:dyDescent="0.2">
      <c r="A108" s="1924"/>
      <c r="B108" s="1576"/>
      <c r="C108" s="1633"/>
      <c r="D108" s="1576"/>
      <c r="E108" s="1557"/>
      <c r="F108" s="1576"/>
      <c r="G108" s="1559"/>
      <c r="H108" s="906"/>
      <c r="I108" s="1120"/>
      <c r="J108" s="1120"/>
      <c r="K108" s="1120"/>
      <c r="L108" s="1120"/>
      <c r="M108" s="1120"/>
      <c r="N108" s="2115"/>
      <c r="O108" s="2115"/>
      <c r="P108" s="1783"/>
      <c r="Q108" s="1025">
        <f>15982.5+4725.4+2308.6+907.2</f>
        <v>23923.7</v>
      </c>
      <c r="R108" s="995" t="s">
        <v>4</v>
      </c>
      <c r="S108" s="1272"/>
      <c r="T108" s="323"/>
      <c r="U108" s="906"/>
      <c r="V108" s="906"/>
      <c r="W108" s="892"/>
      <c r="X108" s="906"/>
      <c r="Y108" s="897"/>
      <c r="Z108" s="906"/>
      <c r="AA108" s="906"/>
      <c r="AB108" s="906"/>
      <c r="AC108" s="906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1233"/>
      <c r="AMK108" s="315"/>
    </row>
    <row r="109" spans="1:44 1025:1025" s="316" customFormat="1" ht="23.1" hidden="1" customHeight="1" x14ac:dyDescent="0.2">
      <c r="A109" s="1924"/>
      <c r="B109" s="1576"/>
      <c r="C109" s="1633"/>
      <c r="D109" s="1576"/>
      <c r="E109" s="1557"/>
      <c r="F109" s="1576"/>
      <c r="G109" s="1559"/>
      <c r="H109" s="906"/>
      <c r="I109" s="1120"/>
      <c r="J109" s="1120"/>
      <c r="K109" s="1120"/>
      <c r="L109" s="1120"/>
      <c r="M109" s="1120"/>
      <c r="N109" s="2115"/>
      <c r="O109" s="2115"/>
      <c r="P109" s="919" t="s">
        <v>6</v>
      </c>
      <c r="Q109" s="897"/>
      <c r="R109" s="906" t="s">
        <v>2</v>
      </c>
      <c r="S109" s="897"/>
      <c r="T109" s="323"/>
      <c r="U109" s="906"/>
      <c r="V109" s="906"/>
      <c r="W109" s="892"/>
      <c r="X109" s="906"/>
      <c r="Y109" s="897"/>
      <c r="Z109" s="906"/>
      <c r="AA109" s="906"/>
      <c r="AB109" s="906"/>
      <c r="AC109" s="906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878"/>
      <c r="AMK109" s="315"/>
    </row>
    <row r="110" spans="1:44 1025:1025" s="316" customFormat="1" ht="24.4" customHeight="1" thickBot="1" x14ac:dyDescent="0.25">
      <c r="A110" s="1925"/>
      <c r="B110" s="1920"/>
      <c r="C110" s="2123"/>
      <c r="D110" s="1920"/>
      <c r="E110" s="1922"/>
      <c r="F110" s="1920"/>
      <c r="G110" s="1579"/>
      <c r="H110" s="1069"/>
      <c r="I110" s="1085"/>
      <c r="J110" s="1085"/>
      <c r="K110" s="1085"/>
      <c r="L110" s="1085"/>
      <c r="M110" s="1085"/>
      <c r="N110" s="2116"/>
      <c r="O110" s="2116"/>
      <c r="P110" s="885" t="s">
        <v>11</v>
      </c>
      <c r="Q110" s="884">
        <v>6945.38</v>
      </c>
      <c r="R110" s="884" t="s">
        <v>4</v>
      </c>
      <c r="S110" s="786">
        <v>7746.6225999999997</v>
      </c>
      <c r="T110" s="323"/>
      <c r="U110" s="906"/>
      <c r="V110" s="906"/>
      <c r="W110" s="892"/>
      <c r="X110" s="906"/>
      <c r="Y110" s="897"/>
      <c r="Z110" s="906"/>
      <c r="AA110" s="906"/>
      <c r="AB110" s="906"/>
      <c r="AC110" s="906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878"/>
      <c r="AMK110" s="315"/>
    </row>
    <row r="111" spans="1:44 1025:1025" s="316" customFormat="1" ht="49.15" customHeight="1" x14ac:dyDescent="0.2">
      <c r="A111" s="1923">
        <v>32</v>
      </c>
      <c r="B111" s="2399" t="s">
        <v>330</v>
      </c>
      <c r="C111" s="2255" t="s">
        <v>183</v>
      </c>
      <c r="D111" s="2255">
        <v>1.9790000000000001</v>
      </c>
      <c r="E111" s="2396">
        <f>Q112</f>
        <v>21995.699999999997</v>
      </c>
      <c r="F111" s="2255">
        <f>D111</f>
        <v>1.9790000000000001</v>
      </c>
      <c r="G111" s="2251">
        <f>E111</f>
        <v>21995.699999999997</v>
      </c>
      <c r="H111" s="905"/>
      <c r="I111" s="1070"/>
      <c r="J111" s="1070"/>
      <c r="K111" s="1070"/>
      <c r="L111" s="1070"/>
      <c r="M111" s="1070"/>
      <c r="N111" s="2114" t="s">
        <v>441</v>
      </c>
      <c r="O111" s="2114" t="s">
        <v>1465</v>
      </c>
      <c r="P111" s="1782" t="s">
        <v>5</v>
      </c>
      <c r="Q111" s="905">
        <v>1.9790000000000001</v>
      </c>
      <c r="R111" s="1070" t="s">
        <v>2</v>
      </c>
      <c r="S111" s="2108">
        <f>69183.714-S113-S114</f>
        <v>61202.058000000005</v>
      </c>
      <c r="T111" s="323"/>
      <c r="U111" s="906"/>
      <c r="V111" s="906"/>
      <c r="W111" s="906"/>
      <c r="X111" s="906"/>
      <c r="Y111" s="897"/>
      <c r="Z111" s="906"/>
      <c r="AA111" s="906"/>
      <c r="AB111" s="906"/>
      <c r="AC111" s="906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1233" t="s">
        <v>1181</v>
      </c>
      <c r="AMK111" s="315"/>
    </row>
    <row r="112" spans="1:44 1025:1025" s="316" customFormat="1" ht="49.15" customHeight="1" x14ac:dyDescent="0.2">
      <c r="A112" s="1924"/>
      <c r="B112" s="2400"/>
      <c r="C112" s="2128"/>
      <c r="D112" s="2128"/>
      <c r="E112" s="2397"/>
      <c r="F112" s="2128"/>
      <c r="G112" s="2395"/>
      <c r="H112" s="906"/>
      <c r="I112" s="1120"/>
      <c r="J112" s="1120"/>
      <c r="K112" s="1120"/>
      <c r="L112" s="1120"/>
      <c r="M112" s="1120"/>
      <c r="N112" s="2115"/>
      <c r="O112" s="2115"/>
      <c r="P112" s="1783"/>
      <c r="Q112" s="1025">
        <f>16140.1+3192.2+2280.6+382.8</f>
        <v>21995.699999999997</v>
      </c>
      <c r="R112" s="1057" t="s">
        <v>4</v>
      </c>
      <c r="S112" s="2109"/>
      <c r="T112" s="323"/>
      <c r="U112" s="906"/>
      <c r="V112" s="906"/>
      <c r="W112" s="892"/>
      <c r="X112" s="906"/>
      <c r="Y112" s="897"/>
      <c r="Z112" s="906"/>
      <c r="AA112" s="906"/>
      <c r="AB112" s="906"/>
      <c r="AC112" s="906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1233"/>
      <c r="AMK112" s="315"/>
    </row>
    <row r="113" spans="1:44 1025:1025" s="316" customFormat="1" ht="24.4" hidden="1" customHeight="1" x14ac:dyDescent="0.2">
      <c r="A113" s="1924"/>
      <c r="B113" s="2400"/>
      <c r="C113" s="2128"/>
      <c r="D113" s="2128"/>
      <c r="E113" s="2397"/>
      <c r="F113" s="2128"/>
      <c r="G113" s="2395"/>
      <c r="H113" s="906"/>
      <c r="I113" s="1120"/>
      <c r="J113" s="1120"/>
      <c r="K113" s="1120"/>
      <c r="L113" s="1120"/>
      <c r="M113" s="1120"/>
      <c r="N113" s="2115"/>
      <c r="O113" s="2115"/>
      <c r="P113" s="919" t="s">
        <v>6</v>
      </c>
      <c r="Q113" s="897"/>
      <c r="R113" s="1120" t="s">
        <v>2</v>
      </c>
      <c r="S113" s="650"/>
      <c r="T113" s="419"/>
      <c r="U113" s="1069"/>
      <c r="V113" s="1069"/>
      <c r="W113" s="992"/>
      <c r="X113" s="996"/>
      <c r="Y113" s="508"/>
      <c r="Z113" s="906"/>
      <c r="AA113" s="906"/>
      <c r="AB113" s="906"/>
      <c r="AC113" s="906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878"/>
      <c r="AMK113" s="315"/>
    </row>
    <row r="114" spans="1:44 1025:1025" s="316" customFormat="1" ht="24.4" customHeight="1" thickBot="1" x14ac:dyDescent="0.25">
      <c r="A114" s="1924"/>
      <c r="B114" s="2400"/>
      <c r="C114" s="2128"/>
      <c r="D114" s="2128"/>
      <c r="E114" s="2397"/>
      <c r="F114" s="2128"/>
      <c r="G114" s="2395"/>
      <c r="H114" s="1069"/>
      <c r="I114" s="1085"/>
      <c r="J114" s="1085"/>
      <c r="K114" s="1085"/>
      <c r="L114" s="1085"/>
      <c r="M114" s="1085"/>
      <c r="N114" s="2116"/>
      <c r="O114" s="2116"/>
      <c r="P114" s="885" t="s">
        <v>11</v>
      </c>
      <c r="Q114" s="884">
        <v>8300.73</v>
      </c>
      <c r="R114" s="884" t="s">
        <v>4</v>
      </c>
      <c r="S114" s="562">
        <v>7981.6559999999999</v>
      </c>
      <c r="T114" s="419"/>
      <c r="U114" s="943"/>
      <c r="V114" s="943"/>
      <c r="W114" s="973"/>
      <c r="X114" s="943"/>
      <c r="Y114" s="913"/>
      <c r="Z114" s="906"/>
      <c r="AA114" s="906"/>
      <c r="AB114" s="906"/>
      <c r="AC114" s="906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878"/>
      <c r="AMK114" s="315"/>
    </row>
    <row r="115" spans="1:44 1025:1025" s="316" customFormat="1" ht="95.25" customHeight="1" thickBot="1" x14ac:dyDescent="0.25">
      <c r="A115" s="1925"/>
      <c r="B115" s="2401"/>
      <c r="C115" s="2257"/>
      <c r="D115" s="2257"/>
      <c r="E115" s="2398"/>
      <c r="F115" s="2257"/>
      <c r="G115" s="2253"/>
      <c r="H115" s="1001"/>
      <c r="I115" s="842"/>
      <c r="J115" s="842"/>
      <c r="K115" s="842"/>
      <c r="L115" s="842"/>
      <c r="M115" s="842"/>
      <c r="N115" s="1082"/>
      <c r="O115" s="1082"/>
      <c r="P115" s="1003"/>
      <c r="Q115" s="843"/>
      <c r="R115" s="843"/>
      <c r="S115" s="844"/>
      <c r="T115" s="2420" t="s">
        <v>1569</v>
      </c>
      <c r="U115" s="2420" t="s">
        <v>1569</v>
      </c>
      <c r="V115" s="878" t="s">
        <v>1046</v>
      </c>
      <c r="W115" s="878">
        <v>1</v>
      </c>
      <c r="X115" s="878" t="s">
        <v>8</v>
      </c>
      <c r="Y115" s="2421">
        <v>299.35000000000002</v>
      </c>
      <c r="Z115" s="323"/>
      <c r="AA115" s="840"/>
      <c r="AB115" s="840"/>
      <c r="AC115" s="840"/>
      <c r="AD115" s="845"/>
      <c r="AE115" s="845"/>
      <c r="AF115" s="845"/>
      <c r="AG115" s="845"/>
      <c r="AH115" s="845"/>
      <c r="AI115" s="845"/>
      <c r="AJ115" s="845"/>
      <c r="AK115" s="845"/>
      <c r="AL115" s="845"/>
      <c r="AM115" s="845"/>
      <c r="AN115" s="845"/>
      <c r="AO115" s="845"/>
      <c r="AP115" s="845"/>
      <c r="AQ115" s="845"/>
      <c r="AR115" s="1131"/>
      <c r="AMK115" s="315"/>
    </row>
    <row r="116" spans="1:44 1025:1025" s="312" customFormat="1" ht="55.35" customHeight="1" x14ac:dyDescent="0.25">
      <c r="A116" s="2407">
        <v>33</v>
      </c>
      <c r="B116" s="2255" t="s">
        <v>347</v>
      </c>
      <c r="C116" s="2255" t="s">
        <v>201</v>
      </c>
      <c r="D116" s="2255">
        <f>Q116</f>
        <v>2.637</v>
      </c>
      <c r="E116" s="2396">
        <f>Q117</f>
        <v>31162</v>
      </c>
      <c r="F116" s="2255">
        <f>Q116</f>
        <v>2.637</v>
      </c>
      <c r="G116" s="2251">
        <f>E116</f>
        <v>31162</v>
      </c>
      <c r="H116" s="905"/>
      <c r="I116" s="905"/>
      <c r="J116" s="905"/>
      <c r="K116" s="905"/>
      <c r="L116" s="905"/>
      <c r="M116" s="905"/>
      <c r="N116" s="2143" t="s">
        <v>1128</v>
      </c>
      <c r="O116" s="2143" t="s">
        <v>1129</v>
      </c>
      <c r="P116" s="1348" t="s">
        <v>5</v>
      </c>
      <c r="Q116" s="905">
        <v>2.637</v>
      </c>
      <c r="R116" s="905" t="s">
        <v>2</v>
      </c>
      <c r="S116" s="2204">
        <f>78540.5976-S118-S119-S120</f>
        <v>68394.880599999989</v>
      </c>
      <c r="T116" s="581"/>
      <c r="U116" s="581"/>
      <c r="V116" s="460"/>
      <c r="W116" s="906"/>
      <c r="X116" s="906"/>
      <c r="Y116" s="582"/>
      <c r="Z116" s="605"/>
      <c r="AA116" s="878"/>
      <c r="AB116" s="878"/>
      <c r="AC116" s="878"/>
      <c r="AD116" s="878"/>
      <c r="AE116" s="878"/>
      <c r="AF116" s="878"/>
      <c r="AG116" s="878"/>
      <c r="AH116" s="878"/>
      <c r="AI116" s="878"/>
      <c r="AJ116" s="878"/>
      <c r="AK116" s="878"/>
      <c r="AL116" s="878"/>
      <c r="AM116" s="878"/>
      <c r="AN116" s="878"/>
      <c r="AO116" s="878"/>
      <c r="AP116" s="878"/>
      <c r="AQ116" s="878"/>
      <c r="AR116" s="1233" t="s">
        <v>1396</v>
      </c>
    </row>
    <row r="117" spans="1:44 1025:1025" s="312" customFormat="1" ht="55.35" customHeight="1" x14ac:dyDescent="0.25">
      <c r="A117" s="2405"/>
      <c r="B117" s="2128"/>
      <c r="C117" s="2128"/>
      <c r="D117" s="2128"/>
      <c r="E117" s="2397"/>
      <c r="F117" s="2128"/>
      <c r="G117" s="2395"/>
      <c r="H117" s="906"/>
      <c r="I117" s="906"/>
      <c r="J117" s="906"/>
      <c r="K117" s="906"/>
      <c r="L117" s="906"/>
      <c r="M117" s="906"/>
      <c r="N117" s="2144"/>
      <c r="O117" s="2144"/>
      <c r="P117" s="1576"/>
      <c r="Q117" s="1025">
        <f>27845+1056+2011+250</f>
        <v>31162</v>
      </c>
      <c r="R117" s="995" t="s">
        <v>4</v>
      </c>
      <c r="S117" s="2205"/>
      <c r="T117" s="581"/>
      <c r="U117" s="581"/>
      <c r="V117" s="460"/>
      <c r="W117" s="892"/>
      <c r="X117" s="906"/>
      <c r="Y117" s="582"/>
      <c r="Z117" s="605"/>
      <c r="AA117" s="878"/>
      <c r="AB117" s="878"/>
      <c r="AC117" s="878"/>
      <c r="AD117" s="878"/>
      <c r="AE117" s="878"/>
      <c r="AF117" s="878"/>
      <c r="AG117" s="878"/>
      <c r="AH117" s="878"/>
      <c r="AI117" s="878"/>
      <c r="AJ117" s="878"/>
      <c r="AK117" s="878"/>
      <c r="AL117" s="878"/>
      <c r="AM117" s="878"/>
      <c r="AN117" s="878"/>
      <c r="AO117" s="878"/>
      <c r="AP117" s="878"/>
      <c r="AQ117" s="878"/>
      <c r="AR117" s="1233"/>
    </row>
    <row r="118" spans="1:44 1025:1025" s="312" customFormat="1" ht="25.15" hidden="1" customHeight="1" x14ac:dyDescent="0.25">
      <c r="A118" s="2405"/>
      <c r="B118" s="2128"/>
      <c r="C118" s="2128"/>
      <c r="D118" s="2128"/>
      <c r="E118" s="2397"/>
      <c r="F118" s="2128"/>
      <c r="G118" s="2395"/>
      <c r="H118" s="906"/>
      <c r="I118" s="906"/>
      <c r="J118" s="906"/>
      <c r="K118" s="906"/>
      <c r="L118" s="906"/>
      <c r="M118" s="906"/>
      <c r="N118" s="2144"/>
      <c r="O118" s="2144"/>
      <c r="P118" s="919" t="s">
        <v>6</v>
      </c>
      <c r="Q118" s="897"/>
      <c r="R118" s="1120" t="s">
        <v>2</v>
      </c>
      <c r="S118" s="650"/>
      <c r="T118" s="509"/>
      <c r="U118" s="580"/>
      <c r="V118" s="943"/>
      <c r="W118" s="973"/>
      <c r="X118" s="943"/>
      <c r="Y118" s="1119"/>
      <c r="Z118" s="878"/>
      <c r="AA118" s="878"/>
      <c r="AB118" s="878"/>
      <c r="AC118" s="878"/>
      <c r="AD118" s="878"/>
      <c r="AE118" s="878"/>
      <c r="AF118" s="878"/>
      <c r="AG118" s="878"/>
      <c r="AH118" s="878"/>
      <c r="AI118" s="878"/>
      <c r="AJ118" s="878"/>
      <c r="AK118" s="878"/>
      <c r="AL118" s="878"/>
      <c r="AM118" s="878"/>
      <c r="AN118" s="878"/>
      <c r="AO118" s="878"/>
      <c r="AP118" s="878"/>
      <c r="AQ118" s="878"/>
      <c r="AR118" s="878"/>
    </row>
    <row r="119" spans="1:44 1025:1025" s="312" customFormat="1" ht="40.15" hidden="1" customHeight="1" x14ac:dyDescent="0.25">
      <c r="A119" s="2405"/>
      <c r="B119" s="2128"/>
      <c r="C119" s="2128"/>
      <c r="D119" s="2128"/>
      <c r="E119" s="2397"/>
      <c r="F119" s="2128"/>
      <c r="G119" s="2395"/>
      <c r="H119" s="1069"/>
      <c r="I119" s="1069"/>
      <c r="J119" s="1069"/>
      <c r="K119" s="1069"/>
      <c r="L119" s="1069"/>
      <c r="M119" s="1069"/>
      <c r="N119" s="2144"/>
      <c r="O119" s="2144"/>
      <c r="P119" s="34" t="s">
        <v>1041</v>
      </c>
      <c r="Q119" s="883"/>
      <c r="R119" s="883" t="s">
        <v>1044</v>
      </c>
      <c r="S119" s="561"/>
      <c r="T119" s="509"/>
      <c r="U119" s="1117"/>
      <c r="V119" s="1069"/>
      <c r="W119" s="991"/>
      <c r="X119" s="995"/>
      <c r="Y119" s="507"/>
      <c r="Z119" s="878"/>
      <c r="AA119" s="878"/>
      <c r="AB119" s="878"/>
      <c r="AC119" s="878"/>
      <c r="AD119" s="878"/>
      <c r="AE119" s="878"/>
      <c r="AF119" s="878"/>
      <c r="AG119" s="878"/>
      <c r="AH119" s="878"/>
      <c r="AI119" s="878"/>
      <c r="AJ119" s="878"/>
      <c r="AK119" s="878"/>
      <c r="AL119" s="878"/>
      <c r="AM119" s="878"/>
      <c r="AN119" s="878"/>
      <c r="AO119" s="878"/>
      <c r="AP119" s="878"/>
      <c r="AQ119" s="878"/>
      <c r="AR119" s="878"/>
    </row>
    <row r="120" spans="1:44 1025:1025" s="312" customFormat="1" ht="25.15" customHeight="1" x14ac:dyDescent="0.25">
      <c r="A120" s="2405"/>
      <c r="B120" s="2128"/>
      <c r="C120" s="2128"/>
      <c r="D120" s="2128"/>
      <c r="E120" s="2397"/>
      <c r="F120" s="2128"/>
      <c r="G120" s="2395"/>
      <c r="H120" s="1069"/>
      <c r="I120" s="1069"/>
      <c r="J120" s="1069"/>
      <c r="K120" s="1069"/>
      <c r="L120" s="1069"/>
      <c r="M120" s="1069"/>
      <c r="N120" s="2145"/>
      <c r="O120" s="2145"/>
      <c r="P120" s="936" t="s">
        <v>11</v>
      </c>
      <c r="Q120" s="900">
        <v>10421</v>
      </c>
      <c r="R120" s="900" t="s">
        <v>4</v>
      </c>
      <c r="S120" s="1087">
        <v>10145.717000000001</v>
      </c>
      <c r="T120" s="509"/>
      <c r="U120" s="1117"/>
      <c r="V120" s="1069"/>
      <c r="W120" s="991"/>
      <c r="X120" s="995"/>
      <c r="Y120" s="507"/>
      <c r="Z120" s="878"/>
      <c r="AA120" s="878"/>
      <c r="AB120" s="878"/>
      <c r="AC120" s="878"/>
      <c r="AD120" s="878"/>
      <c r="AE120" s="878"/>
      <c r="AF120" s="878"/>
      <c r="AG120" s="878"/>
      <c r="AH120" s="878"/>
      <c r="AI120" s="878"/>
      <c r="AJ120" s="878"/>
      <c r="AK120" s="878"/>
      <c r="AL120" s="878"/>
      <c r="AM120" s="878"/>
      <c r="AN120" s="878"/>
      <c r="AO120" s="878"/>
      <c r="AP120" s="878"/>
      <c r="AQ120" s="878"/>
      <c r="AR120" s="878"/>
    </row>
    <row r="121" spans="1:44 1025:1025" s="312" customFormat="1" ht="93.75" customHeight="1" x14ac:dyDescent="0.25">
      <c r="A121" s="2405"/>
      <c r="B121" s="2128"/>
      <c r="C121" s="2128"/>
      <c r="D121" s="2128"/>
      <c r="E121" s="2397"/>
      <c r="F121" s="2128"/>
      <c r="G121" s="2395"/>
      <c r="H121" s="840"/>
      <c r="I121" s="840"/>
      <c r="J121" s="840"/>
      <c r="K121" s="840"/>
      <c r="L121" s="840"/>
      <c r="M121" s="840"/>
      <c r="N121" s="846"/>
      <c r="O121" s="846"/>
      <c r="P121" s="1131"/>
      <c r="Q121" s="1165"/>
      <c r="R121" s="1165"/>
      <c r="S121" s="847"/>
      <c r="T121" s="2420" t="s">
        <v>1574</v>
      </c>
      <c r="U121" s="2420" t="s">
        <v>1574</v>
      </c>
      <c r="V121" s="878" t="s">
        <v>1046</v>
      </c>
      <c r="W121" s="878">
        <v>1</v>
      </c>
      <c r="X121" s="878" t="s">
        <v>8</v>
      </c>
      <c r="Y121" s="2421">
        <v>485.7</v>
      </c>
      <c r="Z121" s="1131"/>
      <c r="AA121" s="1131"/>
      <c r="AB121" s="1131"/>
      <c r="AC121" s="1131"/>
      <c r="AD121" s="1131"/>
      <c r="AE121" s="1131"/>
      <c r="AF121" s="1131"/>
      <c r="AG121" s="1131"/>
      <c r="AH121" s="1131"/>
      <c r="AI121" s="1131"/>
      <c r="AJ121" s="1131"/>
      <c r="AK121" s="1131"/>
      <c r="AL121" s="1131"/>
      <c r="AM121" s="1131"/>
      <c r="AN121" s="1131"/>
      <c r="AO121" s="1131"/>
      <c r="AP121" s="1131"/>
      <c r="AQ121" s="1131"/>
      <c r="AR121" s="1131"/>
    </row>
    <row r="122" spans="1:44 1025:1025" s="312" customFormat="1" ht="93.75" customHeight="1" thickBot="1" x14ac:dyDescent="0.3">
      <c r="A122" s="2408"/>
      <c r="B122" s="2257"/>
      <c r="C122" s="2257"/>
      <c r="D122" s="2257"/>
      <c r="E122" s="2398"/>
      <c r="F122" s="2257"/>
      <c r="G122" s="2253"/>
      <c r="H122" s="840"/>
      <c r="I122" s="840"/>
      <c r="J122" s="840"/>
      <c r="K122" s="840"/>
      <c r="L122" s="840"/>
      <c r="M122" s="840"/>
      <c r="N122" s="846"/>
      <c r="O122" s="846"/>
      <c r="P122" s="1131"/>
      <c r="Q122" s="1165"/>
      <c r="R122" s="1165"/>
      <c r="S122" s="847"/>
      <c r="T122" s="2420" t="s">
        <v>1575</v>
      </c>
      <c r="U122" s="2420" t="s">
        <v>1575</v>
      </c>
      <c r="V122" s="878" t="s">
        <v>1046</v>
      </c>
      <c r="W122" s="878">
        <v>1</v>
      </c>
      <c r="X122" s="878" t="s">
        <v>8</v>
      </c>
      <c r="Y122" s="2421">
        <v>485.7</v>
      </c>
      <c r="Z122" s="1131"/>
      <c r="AA122" s="1131"/>
      <c r="AB122" s="1131"/>
      <c r="AC122" s="1131"/>
      <c r="AD122" s="1131"/>
      <c r="AE122" s="1131"/>
      <c r="AF122" s="1131"/>
      <c r="AG122" s="1131"/>
      <c r="AH122" s="1131"/>
      <c r="AI122" s="1131"/>
      <c r="AJ122" s="1131"/>
      <c r="AK122" s="1131"/>
      <c r="AL122" s="1131"/>
      <c r="AM122" s="1131"/>
      <c r="AN122" s="1131"/>
      <c r="AO122" s="1131"/>
      <c r="AP122" s="1131"/>
      <c r="AQ122" s="1131"/>
      <c r="AR122" s="1131"/>
    </row>
    <row r="123" spans="1:44 1025:1025" s="312" customFormat="1" ht="45" customHeight="1" x14ac:dyDescent="0.25">
      <c r="A123" s="2407">
        <v>34</v>
      </c>
      <c r="B123" s="2255" t="s">
        <v>380</v>
      </c>
      <c r="C123" s="2255" t="s">
        <v>239</v>
      </c>
      <c r="D123" s="2255">
        <f>Q123</f>
        <v>1.4990000000000001</v>
      </c>
      <c r="E123" s="2396">
        <f>Q124</f>
        <v>25177.7</v>
      </c>
      <c r="F123" s="2255">
        <f>D123</f>
        <v>1.4990000000000001</v>
      </c>
      <c r="G123" s="2251">
        <f>E123</f>
        <v>25177.7</v>
      </c>
      <c r="H123" s="996"/>
      <c r="I123" s="996"/>
      <c r="J123" s="996"/>
      <c r="K123" s="996"/>
      <c r="L123" s="996"/>
      <c r="M123" s="996"/>
      <c r="N123" s="2286" t="s">
        <v>441</v>
      </c>
      <c r="O123" s="2145" t="s">
        <v>1466</v>
      </c>
      <c r="P123" s="2128" t="s">
        <v>5</v>
      </c>
      <c r="Q123" s="996">
        <v>1.4990000000000001</v>
      </c>
      <c r="R123" s="996" t="s">
        <v>2</v>
      </c>
      <c r="S123" s="2203">
        <f>52588.8264-S125-S126-S127</f>
        <v>48406.437399999995</v>
      </c>
      <c r="T123" s="323"/>
      <c r="U123" s="906"/>
      <c r="V123" s="906"/>
      <c r="W123" s="906"/>
      <c r="X123" s="906"/>
      <c r="Y123" s="897"/>
      <c r="Z123" s="878"/>
      <c r="AA123" s="878"/>
      <c r="AB123" s="878"/>
      <c r="AC123" s="878"/>
      <c r="AD123" s="878"/>
      <c r="AE123" s="878"/>
      <c r="AF123" s="878"/>
      <c r="AG123" s="878"/>
      <c r="AH123" s="878"/>
      <c r="AI123" s="878"/>
      <c r="AJ123" s="878"/>
      <c r="AK123" s="878"/>
      <c r="AL123" s="878"/>
      <c r="AM123" s="878"/>
      <c r="AN123" s="878"/>
      <c r="AO123" s="878"/>
      <c r="AP123" s="878"/>
      <c r="AQ123" s="878"/>
      <c r="AR123" s="1233" t="s">
        <v>1182</v>
      </c>
    </row>
    <row r="124" spans="1:44 1025:1025" s="312" customFormat="1" ht="45" customHeight="1" x14ac:dyDescent="0.25">
      <c r="A124" s="2405"/>
      <c r="B124" s="2128"/>
      <c r="C124" s="2128"/>
      <c r="D124" s="2128"/>
      <c r="E124" s="2397"/>
      <c r="F124" s="2128"/>
      <c r="G124" s="2395"/>
      <c r="H124" s="995"/>
      <c r="I124" s="995"/>
      <c r="J124" s="995"/>
      <c r="K124" s="995"/>
      <c r="L124" s="995"/>
      <c r="M124" s="995"/>
      <c r="N124" s="2115"/>
      <c r="O124" s="2144"/>
      <c r="P124" s="1576"/>
      <c r="Q124" s="1025">
        <v>25177.7</v>
      </c>
      <c r="R124" s="995" t="s">
        <v>4</v>
      </c>
      <c r="S124" s="2109"/>
      <c r="T124" s="323"/>
      <c r="U124" s="906"/>
      <c r="V124" s="906"/>
      <c r="W124" s="892"/>
      <c r="X124" s="906"/>
      <c r="Y124" s="897"/>
      <c r="Z124" s="878"/>
      <c r="AA124" s="878"/>
      <c r="AB124" s="878"/>
      <c r="AC124" s="878"/>
      <c r="AD124" s="878"/>
      <c r="AE124" s="878"/>
      <c r="AF124" s="878"/>
      <c r="AG124" s="878"/>
      <c r="AH124" s="878"/>
      <c r="AI124" s="878"/>
      <c r="AJ124" s="878"/>
      <c r="AK124" s="878"/>
      <c r="AL124" s="878"/>
      <c r="AM124" s="878"/>
      <c r="AN124" s="878"/>
      <c r="AO124" s="878"/>
      <c r="AP124" s="878"/>
      <c r="AQ124" s="878"/>
      <c r="AR124" s="1233"/>
    </row>
    <row r="125" spans="1:44 1025:1025" s="312" customFormat="1" ht="28.9" hidden="1" customHeight="1" x14ac:dyDescent="0.25">
      <c r="A125" s="2405"/>
      <c r="B125" s="2128"/>
      <c r="C125" s="2128"/>
      <c r="D125" s="2128"/>
      <c r="E125" s="2397"/>
      <c r="F125" s="2128"/>
      <c r="G125" s="2395"/>
      <c r="H125" s="906"/>
      <c r="I125" s="906"/>
      <c r="J125" s="906"/>
      <c r="K125" s="906"/>
      <c r="L125" s="906"/>
      <c r="M125" s="906"/>
      <c r="N125" s="2115"/>
      <c r="O125" s="2144"/>
      <c r="P125" s="919" t="s">
        <v>6</v>
      </c>
      <c r="Q125" s="897"/>
      <c r="R125" s="1120" t="s">
        <v>2</v>
      </c>
      <c r="S125" s="650"/>
      <c r="T125" s="419"/>
      <c r="U125" s="1069"/>
      <c r="V125" s="1069"/>
      <c r="W125" s="992"/>
      <c r="X125" s="996"/>
      <c r="Y125" s="508"/>
      <c r="Z125" s="878"/>
      <c r="AA125" s="878"/>
      <c r="AB125" s="878"/>
      <c r="AC125" s="878"/>
      <c r="AD125" s="878"/>
      <c r="AE125" s="878"/>
      <c r="AF125" s="878"/>
      <c r="AG125" s="878"/>
      <c r="AH125" s="878"/>
      <c r="AI125" s="878"/>
      <c r="AJ125" s="878"/>
      <c r="AK125" s="878"/>
      <c r="AL125" s="878"/>
      <c r="AM125" s="878"/>
      <c r="AN125" s="878"/>
      <c r="AO125" s="878"/>
      <c r="AP125" s="878"/>
      <c r="AQ125" s="878"/>
      <c r="AR125" s="878"/>
    </row>
    <row r="126" spans="1:44 1025:1025" s="312" customFormat="1" ht="35.65" hidden="1" customHeight="1" x14ac:dyDescent="0.25">
      <c r="A126" s="2405"/>
      <c r="B126" s="2128"/>
      <c r="C126" s="2128"/>
      <c r="D126" s="2128"/>
      <c r="E126" s="2397"/>
      <c r="F126" s="2128"/>
      <c r="G126" s="2395"/>
      <c r="H126" s="1069"/>
      <c r="I126" s="1069"/>
      <c r="J126" s="1069"/>
      <c r="K126" s="1069"/>
      <c r="L126" s="1069"/>
      <c r="M126" s="1069"/>
      <c r="N126" s="2115"/>
      <c r="O126" s="2144"/>
      <c r="P126" s="34" t="s">
        <v>1041</v>
      </c>
      <c r="Q126" s="883"/>
      <c r="R126" s="883" t="s">
        <v>1044</v>
      </c>
      <c r="S126" s="561"/>
      <c r="T126" s="419"/>
      <c r="U126" s="1069"/>
      <c r="V126" s="1069"/>
      <c r="W126" s="992"/>
      <c r="X126" s="996"/>
      <c r="Y126" s="508"/>
      <c r="Z126" s="878"/>
      <c r="AA126" s="878"/>
      <c r="AB126" s="878"/>
      <c r="AC126" s="878"/>
      <c r="AD126" s="878"/>
      <c r="AE126" s="878"/>
      <c r="AF126" s="878"/>
      <c r="AG126" s="878"/>
      <c r="AH126" s="878"/>
      <c r="AI126" s="878"/>
      <c r="AJ126" s="878"/>
      <c r="AK126" s="878"/>
      <c r="AL126" s="878"/>
      <c r="AM126" s="878"/>
      <c r="AN126" s="878"/>
      <c r="AO126" s="878"/>
      <c r="AP126" s="878"/>
      <c r="AQ126" s="878"/>
      <c r="AR126" s="878"/>
    </row>
    <row r="127" spans="1:44 1025:1025" s="312" customFormat="1" ht="21.2" customHeight="1" thickBot="1" x14ac:dyDescent="0.3">
      <c r="A127" s="2405"/>
      <c r="B127" s="2128"/>
      <c r="C127" s="2128"/>
      <c r="D127" s="2128"/>
      <c r="E127" s="2397"/>
      <c r="F127" s="2128"/>
      <c r="G127" s="2395"/>
      <c r="H127" s="1069"/>
      <c r="I127" s="1069"/>
      <c r="J127" s="1069"/>
      <c r="K127" s="1069"/>
      <c r="L127" s="1069"/>
      <c r="M127" s="1069"/>
      <c r="N127" s="2116"/>
      <c r="O127" s="2206"/>
      <c r="P127" s="885" t="s">
        <v>11</v>
      </c>
      <c r="Q127" s="884">
        <v>3021.5</v>
      </c>
      <c r="R127" s="884" t="s">
        <v>4</v>
      </c>
      <c r="S127" s="562">
        <v>4182.3890000000001</v>
      </c>
      <c r="T127" s="419"/>
      <c r="U127" s="943"/>
      <c r="V127" s="943"/>
      <c r="W127" s="973"/>
      <c r="X127" s="943"/>
      <c r="Y127" s="913"/>
      <c r="Z127" s="878"/>
      <c r="AA127" s="878"/>
      <c r="AB127" s="878"/>
      <c r="AC127" s="878"/>
      <c r="AD127" s="878"/>
      <c r="AE127" s="878"/>
      <c r="AF127" s="878"/>
      <c r="AG127" s="878"/>
      <c r="AH127" s="878"/>
      <c r="AI127" s="878"/>
      <c r="AJ127" s="878"/>
      <c r="AK127" s="878"/>
      <c r="AL127" s="878"/>
      <c r="AM127" s="878"/>
      <c r="AN127" s="878"/>
      <c r="AO127" s="878"/>
      <c r="AP127" s="878"/>
      <c r="AQ127" s="878"/>
      <c r="AR127" s="878"/>
    </row>
    <row r="128" spans="1:44 1025:1025" s="312" customFormat="1" ht="83.25" customHeight="1" thickBot="1" x14ac:dyDescent="0.3">
      <c r="A128" s="2409"/>
      <c r="B128" s="1375"/>
      <c r="C128" s="1375"/>
      <c r="D128" s="1375"/>
      <c r="E128" s="1471"/>
      <c r="F128" s="1375"/>
      <c r="G128" s="1271"/>
      <c r="H128" s="1001"/>
      <c r="I128" s="1001"/>
      <c r="J128" s="1001"/>
      <c r="K128" s="1001"/>
      <c r="L128" s="1001"/>
      <c r="M128" s="1001"/>
      <c r="N128" s="1082"/>
      <c r="O128" s="1118"/>
      <c r="P128" s="1003"/>
      <c r="Q128" s="843"/>
      <c r="R128" s="843"/>
      <c r="S128" s="844"/>
      <c r="T128" s="2420" t="s">
        <v>1576</v>
      </c>
      <c r="U128" s="2420" t="s">
        <v>1576</v>
      </c>
      <c r="V128" s="878" t="s">
        <v>1046</v>
      </c>
      <c r="W128" s="878">
        <v>1</v>
      </c>
      <c r="X128" s="878" t="s">
        <v>8</v>
      </c>
      <c r="Y128" s="2421">
        <v>525.70000000000005</v>
      </c>
      <c r="Z128" s="605"/>
      <c r="AA128" s="1131"/>
      <c r="AB128" s="1131"/>
      <c r="AC128" s="1131"/>
      <c r="AD128" s="1131"/>
      <c r="AE128" s="1131"/>
      <c r="AF128" s="1131"/>
      <c r="AG128" s="1131"/>
      <c r="AH128" s="1131"/>
      <c r="AI128" s="1131"/>
      <c r="AJ128" s="1131"/>
      <c r="AK128" s="1131"/>
      <c r="AL128" s="1131"/>
      <c r="AM128" s="1131"/>
      <c r="AN128" s="1131"/>
      <c r="AO128" s="1131"/>
      <c r="AP128" s="1131"/>
      <c r="AQ128" s="1131"/>
      <c r="AR128" s="1131"/>
    </row>
    <row r="129" spans="1:44 1025:1025" s="316" customFormat="1" ht="88.15" customHeight="1" x14ac:dyDescent="0.2">
      <c r="A129" s="2410">
        <v>35</v>
      </c>
      <c r="B129" s="1300">
        <v>3413610</v>
      </c>
      <c r="C129" s="1836" t="s">
        <v>168</v>
      </c>
      <c r="D129" s="1836">
        <f>F129</f>
        <v>5.0220000000000002</v>
      </c>
      <c r="E129" s="2301">
        <f>G129</f>
        <v>51460.9</v>
      </c>
      <c r="F129" s="1836">
        <f>5.264-0.242</f>
        <v>5.0220000000000002</v>
      </c>
      <c r="G129" s="1362">
        <f>Q130</f>
        <v>51460.9</v>
      </c>
      <c r="H129" s="905"/>
      <c r="I129" s="1070"/>
      <c r="J129" s="1070"/>
      <c r="K129" s="1070"/>
      <c r="L129" s="1070"/>
      <c r="M129" s="1070"/>
      <c r="N129" s="2114" t="s">
        <v>441</v>
      </c>
      <c r="O129" s="2114" t="s">
        <v>1409</v>
      </c>
      <c r="P129" s="1782" t="s">
        <v>5</v>
      </c>
      <c r="Q129" s="905">
        <v>5.0224000000000002</v>
      </c>
      <c r="R129" s="1070" t="s">
        <v>2</v>
      </c>
      <c r="S129" s="2117">
        <f>88167.0576-S131-S132-S133</f>
        <v>82792.393800000005</v>
      </c>
      <c r="T129" s="579"/>
      <c r="U129" s="579"/>
      <c r="V129" s="290"/>
      <c r="W129" s="906"/>
      <c r="X129" s="1120"/>
      <c r="Y129" s="582"/>
      <c r="Z129" s="323"/>
      <c r="AA129" s="906"/>
      <c r="AB129" s="906"/>
      <c r="AC129" s="906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/>
      <c r="AO129" s="314"/>
      <c r="AP129" s="314"/>
      <c r="AQ129" s="314"/>
      <c r="AR129" s="1233" t="s">
        <v>1395</v>
      </c>
      <c r="AMK129" s="315"/>
    </row>
    <row r="130" spans="1:44 1025:1025" s="316" customFormat="1" ht="88.15" customHeight="1" x14ac:dyDescent="0.2">
      <c r="A130" s="2411"/>
      <c r="B130" s="2292"/>
      <c r="C130" s="2128"/>
      <c r="D130" s="2128"/>
      <c r="E130" s="2397"/>
      <c r="F130" s="2128"/>
      <c r="G130" s="2395"/>
      <c r="H130" s="995"/>
      <c r="I130" s="1057"/>
      <c r="J130" s="1057"/>
      <c r="K130" s="1057"/>
      <c r="L130" s="1057"/>
      <c r="M130" s="1057"/>
      <c r="N130" s="2115"/>
      <c r="O130" s="2115"/>
      <c r="P130" s="1783"/>
      <c r="Q130" s="1025">
        <v>51460.9</v>
      </c>
      <c r="R130" s="1057" t="s">
        <v>4</v>
      </c>
      <c r="S130" s="2118"/>
      <c r="T130" s="579"/>
      <c r="U130" s="579"/>
      <c r="V130" s="290"/>
      <c r="W130" s="892"/>
      <c r="X130" s="1120"/>
      <c r="Y130" s="582"/>
      <c r="Z130" s="583"/>
      <c r="AA130" s="995"/>
      <c r="AB130" s="995"/>
      <c r="AC130" s="995"/>
      <c r="AD130" s="399"/>
      <c r="AE130" s="399"/>
      <c r="AF130" s="399"/>
      <c r="AG130" s="399"/>
      <c r="AH130" s="399"/>
      <c r="AI130" s="399"/>
      <c r="AJ130" s="399"/>
      <c r="AK130" s="399"/>
      <c r="AL130" s="399"/>
      <c r="AM130" s="314"/>
      <c r="AN130" s="314"/>
      <c r="AO130" s="314"/>
      <c r="AP130" s="314"/>
      <c r="AQ130" s="314"/>
      <c r="AR130" s="1233"/>
      <c r="AMK130" s="315"/>
    </row>
    <row r="131" spans="1:44 1025:1025" s="316" customFormat="1" ht="27" hidden="1" customHeight="1" x14ac:dyDescent="0.2">
      <c r="A131" s="2411"/>
      <c r="B131" s="2292"/>
      <c r="C131" s="2128"/>
      <c r="D131" s="2128"/>
      <c r="E131" s="2397"/>
      <c r="F131" s="2128"/>
      <c r="G131" s="2395"/>
      <c r="H131" s="995"/>
      <c r="I131" s="1057"/>
      <c r="J131" s="1057"/>
      <c r="K131" s="1057"/>
      <c r="L131" s="1057"/>
      <c r="M131" s="1057"/>
      <c r="N131" s="2115"/>
      <c r="O131" s="2115"/>
      <c r="P131" s="919" t="s">
        <v>6</v>
      </c>
      <c r="Q131" s="897"/>
      <c r="R131" s="1120" t="s">
        <v>2</v>
      </c>
      <c r="S131" s="1120"/>
      <c r="T131" s="584"/>
      <c r="U131" s="584"/>
      <c r="V131" s="585"/>
      <c r="W131" s="973"/>
      <c r="X131" s="585"/>
      <c r="Y131" s="1119"/>
      <c r="Z131" s="995"/>
      <c r="AA131" s="995"/>
      <c r="AB131" s="995"/>
      <c r="AC131" s="995"/>
      <c r="AD131" s="399"/>
      <c r="AE131" s="399"/>
      <c r="AF131" s="399"/>
      <c r="AG131" s="399"/>
      <c r="AH131" s="399"/>
      <c r="AI131" s="399"/>
      <c r="AJ131" s="399"/>
      <c r="AK131" s="399"/>
      <c r="AL131" s="399"/>
      <c r="AM131" s="314"/>
      <c r="AN131" s="314"/>
      <c r="AO131" s="314"/>
      <c r="AP131" s="314"/>
      <c r="AQ131" s="314"/>
      <c r="AR131" s="878"/>
      <c r="AMK131" s="315"/>
    </row>
    <row r="132" spans="1:44 1025:1025" s="316" customFormat="1" ht="41.1" hidden="1" customHeight="1" x14ac:dyDescent="0.2">
      <c r="A132" s="2411"/>
      <c r="B132" s="2292"/>
      <c r="C132" s="2128"/>
      <c r="D132" s="2128"/>
      <c r="E132" s="2397"/>
      <c r="F132" s="2128"/>
      <c r="G132" s="2395"/>
      <c r="H132" s="995"/>
      <c r="I132" s="1057"/>
      <c r="J132" s="1057"/>
      <c r="K132" s="1057"/>
      <c r="L132" s="1057"/>
      <c r="M132" s="1057"/>
      <c r="N132" s="2115"/>
      <c r="O132" s="2115"/>
      <c r="P132" s="34" t="s">
        <v>1041</v>
      </c>
      <c r="Q132" s="883"/>
      <c r="R132" s="883" t="s">
        <v>1044</v>
      </c>
      <c r="S132" s="2426"/>
      <c r="T132" s="1083"/>
      <c r="U132" s="1083"/>
      <c r="V132" s="1085"/>
      <c r="W132" s="991"/>
      <c r="X132" s="1057"/>
      <c r="Y132" s="507"/>
      <c r="Z132" s="995"/>
      <c r="AA132" s="995"/>
      <c r="AB132" s="995"/>
      <c r="AC132" s="995"/>
      <c r="AD132" s="399"/>
      <c r="AE132" s="399"/>
      <c r="AF132" s="399"/>
      <c r="AG132" s="399"/>
      <c r="AH132" s="399"/>
      <c r="AI132" s="399"/>
      <c r="AJ132" s="399"/>
      <c r="AK132" s="399"/>
      <c r="AL132" s="399"/>
      <c r="AM132" s="314"/>
      <c r="AN132" s="314"/>
      <c r="AO132" s="314"/>
      <c r="AP132" s="314"/>
      <c r="AQ132" s="314"/>
      <c r="AR132" s="878"/>
      <c r="AMK132" s="315"/>
    </row>
    <row r="133" spans="1:44 1025:1025" s="316" customFormat="1" ht="27" customHeight="1" thickBot="1" x14ac:dyDescent="0.25">
      <c r="A133" s="2411"/>
      <c r="B133" s="2292"/>
      <c r="C133" s="2128"/>
      <c r="D133" s="2128"/>
      <c r="E133" s="2397"/>
      <c r="F133" s="2128"/>
      <c r="G133" s="2395"/>
      <c r="H133" s="995"/>
      <c r="I133" s="1057"/>
      <c r="J133" s="1057"/>
      <c r="K133" s="1057"/>
      <c r="L133" s="1057"/>
      <c r="M133" s="1057"/>
      <c r="N133" s="2287"/>
      <c r="O133" s="2287"/>
      <c r="P133" s="885" t="s">
        <v>11</v>
      </c>
      <c r="Q133" s="884">
        <v>9900.9</v>
      </c>
      <c r="R133" s="884" t="s">
        <v>4</v>
      </c>
      <c r="S133" s="643">
        <v>5374.6638000000003</v>
      </c>
      <c r="T133" s="1083"/>
      <c r="U133" s="1083"/>
      <c r="V133" s="1085"/>
      <c r="W133" s="991"/>
      <c r="X133" s="1057"/>
      <c r="Y133" s="586"/>
      <c r="Z133" s="995"/>
      <c r="AA133" s="995"/>
      <c r="AB133" s="995"/>
      <c r="AC133" s="995"/>
      <c r="AD133" s="399"/>
      <c r="AE133" s="399"/>
      <c r="AF133" s="399"/>
      <c r="AG133" s="399"/>
      <c r="AH133" s="399"/>
      <c r="AI133" s="399"/>
      <c r="AJ133" s="399"/>
      <c r="AK133" s="399"/>
      <c r="AL133" s="399"/>
      <c r="AM133" s="314"/>
      <c r="AN133" s="314"/>
      <c r="AO133" s="314"/>
      <c r="AP133" s="314"/>
      <c r="AQ133" s="314"/>
      <c r="AR133" s="878"/>
      <c r="AMK133" s="315"/>
    </row>
    <row r="134" spans="1:44 1025:1025" s="316" customFormat="1" ht="92.25" customHeight="1" x14ac:dyDescent="0.2">
      <c r="A134" s="2411"/>
      <c r="B134" s="2292"/>
      <c r="C134" s="2128"/>
      <c r="D134" s="2128"/>
      <c r="E134" s="2397"/>
      <c r="F134" s="2128"/>
      <c r="G134" s="2395"/>
      <c r="H134" s="1002"/>
      <c r="I134" s="1060"/>
      <c r="J134" s="1060"/>
      <c r="K134" s="1060"/>
      <c r="L134" s="1060"/>
      <c r="M134" s="1060"/>
      <c r="N134" s="1084"/>
      <c r="O134" s="1084"/>
      <c r="P134" s="936"/>
      <c r="Q134" s="900"/>
      <c r="R134" s="900"/>
      <c r="S134" s="848"/>
      <c r="T134" s="2420" t="s">
        <v>1577</v>
      </c>
      <c r="U134" s="2420" t="s">
        <v>1577</v>
      </c>
      <c r="V134" s="878" t="s">
        <v>1046</v>
      </c>
      <c r="W134" s="878">
        <v>1</v>
      </c>
      <c r="X134" s="878" t="s">
        <v>8</v>
      </c>
      <c r="Y134" s="2421">
        <v>259.35000000000002</v>
      </c>
      <c r="Z134" s="1002"/>
      <c r="AA134" s="1002"/>
      <c r="AB134" s="1002"/>
      <c r="AC134" s="1002"/>
      <c r="AD134" s="849"/>
      <c r="AE134" s="849"/>
      <c r="AF134" s="849"/>
      <c r="AG134" s="849"/>
      <c r="AH134" s="849"/>
      <c r="AI134" s="849"/>
      <c r="AJ134" s="849"/>
      <c r="AK134" s="849"/>
      <c r="AL134" s="849"/>
      <c r="AM134" s="845"/>
      <c r="AN134" s="845"/>
      <c r="AO134" s="845"/>
      <c r="AP134" s="845"/>
      <c r="AQ134" s="845"/>
      <c r="AR134" s="1131"/>
      <c r="AMK134" s="315"/>
    </row>
    <row r="135" spans="1:44 1025:1025" s="316" customFormat="1" ht="92.25" customHeight="1" x14ac:dyDescent="0.2">
      <c r="A135" s="2411"/>
      <c r="B135" s="2292"/>
      <c r="C135" s="2128"/>
      <c r="D135" s="2128"/>
      <c r="E135" s="2397"/>
      <c r="F135" s="2128"/>
      <c r="G135" s="2395"/>
      <c r="H135" s="1002"/>
      <c r="I135" s="1060"/>
      <c r="J135" s="1060"/>
      <c r="K135" s="1060"/>
      <c r="L135" s="1060"/>
      <c r="M135" s="1060"/>
      <c r="N135" s="1084"/>
      <c r="O135" s="1084"/>
      <c r="P135" s="936"/>
      <c r="Q135" s="900"/>
      <c r="R135" s="900"/>
      <c r="S135" s="848"/>
      <c r="T135" s="2420" t="s">
        <v>1578</v>
      </c>
      <c r="U135" s="2420" t="s">
        <v>1578</v>
      </c>
      <c r="V135" s="878" t="s">
        <v>1046</v>
      </c>
      <c r="W135" s="878">
        <v>1</v>
      </c>
      <c r="X135" s="878" t="s">
        <v>8</v>
      </c>
      <c r="Y135" s="2421">
        <v>525.70000000000005</v>
      </c>
      <c r="Z135" s="1002"/>
      <c r="AA135" s="1002"/>
      <c r="AB135" s="1002"/>
      <c r="AC135" s="1002"/>
      <c r="AD135" s="849"/>
      <c r="AE135" s="849"/>
      <c r="AF135" s="849"/>
      <c r="AG135" s="849"/>
      <c r="AH135" s="849"/>
      <c r="AI135" s="849"/>
      <c r="AJ135" s="849"/>
      <c r="AK135" s="849"/>
      <c r="AL135" s="849"/>
      <c r="AM135" s="845"/>
      <c r="AN135" s="845"/>
      <c r="AO135" s="845"/>
      <c r="AP135" s="845"/>
      <c r="AQ135" s="845"/>
      <c r="AR135" s="1131"/>
      <c r="AMK135" s="315"/>
    </row>
    <row r="136" spans="1:44 1025:1025" s="316" customFormat="1" ht="92.25" customHeight="1" x14ac:dyDescent="0.2">
      <c r="A136" s="1822"/>
      <c r="B136" s="1213"/>
      <c r="C136" s="1375"/>
      <c r="D136" s="1375"/>
      <c r="E136" s="1471"/>
      <c r="F136" s="1375"/>
      <c r="G136" s="1271"/>
      <c r="H136" s="1002"/>
      <c r="I136" s="1060"/>
      <c r="J136" s="1060"/>
      <c r="K136" s="1060"/>
      <c r="L136" s="1060"/>
      <c r="M136" s="1060"/>
      <c r="N136" s="1084"/>
      <c r="O136" s="1084"/>
      <c r="P136" s="936"/>
      <c r="Q136" s="900"/>
      <c r="R136" s="900"/>
      <c r="S136" s="848"/>
      <c r="T136" s="2420" t="s">
        <v>1579</v>
      </c>
      <c r="U136" s="2420" t="s">
        <v>1579</v>
      </c>
      <c r="V136" s="878" t="s">
        <v>1046</v>
      </c>
      <c r="W136" s="878">
        <v>1</v>
      </c>
      <c r="X136" s="878" t="s">
        <v>8</v>
      </c>
      <c r="Y136" s="2421">
        <v>485.7</v>
      </c>
      <c r="Z136" s="1002"/>
      <c r="AA136" s="1002"/>
      <c r="AB136" s="1002"/>
      <c r="AC136" s="1002"/>
      <c r="AD136" s="849"/>
      <c r="AE136" s="849"/>
      <c r="AF136" s="849"/>
      <c r="AG136" s="849"/>
      <c r="AH136" s="849"/>
      <c r="AI136" s="849"/>
      <c r="AJ136" s="849"/>
      <c r="AK136" s="849"/>
      <c r="AL136" s="849"/>
      <c r="AM136" s="845"/>
      <c r="AN136" s="845"/>
      <c r="AO136" s="845"/>
      <c r="AP136" s="845"/>
      <c r="AQ136" s="845"/>
      <c r="AR136" s="1131"/>
      <c r="AMK136" s="315"/>
    </row>
    <row r="137" spans="1:44 1025:1025" s="116" customFormat="1" ht="40.15" customHeight="1" x14ac:dyDescent="0.2">
      <c r="A137" s="1598">
        <f>A129+1</f>
        <v>36</v>
      </c>
      <c r="B137" s="1285" t="s">
        <v>790</v>
      </c>
      <c r="C137" s="1343" t="s">
        <v>791</v>
      </c>
      <c r="D137" s="1817">
        <v>1.0209999999999999</v>
      </c>
      <c r="E137" s="1901">
        <f>2513.4/0.348*D137</f>
        <v>7374.0844827586207</v>
      </c>
      <c r="F137" s="1817">
        <v>1.0209999999999999</v>
      </c>
      <c r="G137" s="1901">
        <f>2513.4/0.348*F137</f>
        <v>7374.0844827586207</v>
      </c>
      <c r="H137" s="906"/>
      <c r="I137" s="906"/>
      <c r="J137" s="906"/>
      <c r="K137" s="906"/>
      <c r="L137" s="906"/>
      <c r="M137" s="906"/>
      <c r="N137" s="2121" t="s">
        <v>441</v>
      </c>
      <c r="O137" s="2087" t="s">
        <v>1406</v>
      </c>
      <c r="P137" s="1374" t="s">
        <v>5</v>
      </c>
      <c r="Q137" s="906">
        <v>0.17899999999999999</v>
      </c>
      <c r="R137" s="906" t="s">
        <v>2</v>
      </c>
      <c r="S137" s="1380">
        <f>4502.6184-S139-S140</f>
        <v>4005.9796000000006</v>
      </c>
      <c r="T137" s="906"/>
      <c r="U137" s="906"/>
      <c r="V137" s="906"/>
      <c r="W137" s="892"/>
      <c r="X137" s="906"/>
      <c r="Y137" s="650"/>
      <c r="Z137" s="2091" t="s">
        <v>1492</v>
      </c>
      <c r="AA137" s="1374" t="s">
        <v>1493</v>
      </c>
      <c r="AB137" s="1374" t="s">
        <v>5</v>
      </c>
      <c r="AC137" s="906">
        <v>0.35399999999999998</v>
      </c>
      <c r="AD137" s="906" t="s">
        <v>2</v>
      </c>
      <c r="AE137" s="2089">
        <v>10129.22826</v>
      </c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3" t="s">
        <v>1386</v>
      </c>
    </row>
    <row r="138" spans="1:44 1025:1025" s="116" customFormat="1" ht="40.15" customHeight="1" x14ac:dyDescent="0.2">
      <c r="A138" s="1263"/>
      <c r="B138" s="1220"/>
      <c r="C138" s="1699"/>
      <c r="D138" s="1913"/>
      <c r="E138" s="1265"/>
      <c r="F138" s="1913"/>
      <c r="G138" s="1265"/>
      <c r="H138" s="906"/>
      <c r="I138" s="906"/>
      <c r="J138" s="906"/>
      <c r="K138" s="906"/>
      <c r="L138" s="906"/>
      <c r="M138" s="906"/>
      <c r="N138" s="2121"/>
      <c r="O138" s="2087"/>
      <c r="P138" s="1375"/>
      <c r="Q138" s="897">
        <v>1470.15</v>
      </c>
      <c r="R138" s="906" t="s">
        <v>4</v>
      </c>
      <c r="S138" s="1335"/>
      <c r="T138" s="906"/>
      <c r="U138" s="906"/>
      <c r="V138" s="906"/>
      <c r="W138" s="892"/>
      <c r="X138" s="906"/>
      <c r="Y138" s="650"/>
      <c r="Z138" s="2092"/>
      <c r="AA138" s="1375"/>
      <c r="AB138" s="1375"/>
      <c r="AC138" s="897">
        <v>3208.7</v>
      </c>
      <c r="AD138" s="906" t="s">
        <v>4</v>
      </c>
      <c r="AE138" s="2090"/>
      <c r="AF138" s="1086"/>
      <c r="AG138" s="1086"/>
      <c r="AH138" s="1086"/>
      <c r="AI138" s="1086"/>
      <c r="AJ138" s="1086"/>
      <c r="AK138" s="1086"/>
      <c r="AL138" s="1086"/>
      <c r="AM138" s="123"/>
      <c r="AN138" s="123"/>
      <c r="AO138" s="123"/>
      <c r="AP138" s="123"/>
      <c r="AQ138" s="123"/>
      <c r="AR138" s="1233"/>
    </row>
    <row r="139" spans="1:44 1025:1025" s="116" customFormat="1" ht="24.4" customHeight="1" x14ac:dyDescent="0.2">
      <c r="A139" s="1263"/>
      <c r="B139" s="1220"/>
      <c r="C139" s="1699"/>
      <c r="D139" s="1913"/>
      <c r="E139" s="1265"/>
      <c r="F139" s="1913"/>
      <c r="G139" s="1265"/>
      <c r="H139" s="996"/>
      <c r="I139" s="996"/>
      <c r="J139" s="996"/>
      <c r="K139" s="996"/>
      <c r="L139" s="996"/>
      <c r="M139" s="996"/>
      <c r="N139" s="2121"/>
      <c r="O139" s="2087"/>
      <c r="P139" s="878" t="s">
        <v>6</v>
      </c>
      <c r="Q139" s="897">
        <v>0.6603</v>
      </c>
      <c r="R139" s="1120" t="s">
        <v>2</v>
      </c>
      <c r="S139" s="650">
        <v>3.1518000000000002</v>
      </c>
      <c r="T139" s="906"/>
      <c r="U139" s="906"/>
      <c r="V139" s="906"/>
      <c r="W139" s="892"/>
      <c r="X139" s="906"/>
      <c r="Y139" s="650"/>
      <c r="Z139" s="1086"/>
      <c r="AA139" s="1086"/>
      <c r="AB139" s="1086"/>
      <c r="AC139" s="1086"/>
      <c r="AD139" s="1086"/>
      <c r="AE139" s="1086"/>
      <c r="AF139" s="1086"/>
      <c r="AG139" s="1086"/>
      <c r="AH139" s="1086"/>
      <c r="AI139" s="1086"/>
      <c r="AJ139" s="1086"/>
      <c r="AK139" s="1086"/>
      <c r="AL139" s="1086"/>
      <c r="AM139" s="123"/>
      <c r="AN139" s="123"/>
      <c r="AO139" s="123"/>
      <c r="AP139" s="123"/>
      <c r="AQ139" s="123"/>
      <c r="AR139" s="878"/>
    </row>
    <row r="140" spans="1:44 1025:1025" s="116" customFormat="1" ht="24.4" customHeight="1" thickBot="1" x14ac:dyDescent="0.25">
      <c r="A140" s="1241"/>
      <c r="B140" s="1213"/>
      <c r="C140" s="1273"/>
      <c r="D140" s="1818"/>
      <c r="E140" s="1902"/>
      <c r="F140" s="1818"/>
      <c r="G140" s="1902"/>
      <c r="H140" s="996"/>
      <c r="I140" s="996"/>
      <c r="J140" s="996"/>
      <c r="K140" s="996"/>
      <c r="L140" s="996"/>
      <c r="M140" s="996"/>
      <c r="N140" s="2121"/>
      <c r="O140" s="2087"/>
      <c r="P140" s="885" t="s">
        <v>11</v>
      </c>
      <c r="Q140" s="884">
        <v>510.6</v>
      </c>
      <c r="R140" s="884" t="s">
        <v>4</v>
      </c>
      <c r="S140" s="562">
        <v>493.48700000000002</v>
      </c>
      <c r="T140" s="906"/>
      <c r="U140" s="906"/>
      <c r="V140" s="906"/>
      <c r="W140" s="892"/>
      <c r="X140" s="906"/>
      <c r="Y140" s="650"/>
      <c r="Z140" s="1086"/>
      <c r="AA140" s="1086"/>
      <c r="AB140" s="1086"/>
      <c r="AC140" s="1086"/>
      <c r="AD140" s="1086"/>
      <c r="AE140" s="1086"/>
      <c r="AF140" s="1086"/>
      <c r="AG140" s="1086"/>
      <c r="AH140" s="1086"/>
      <c r="AI140" s="1086"/>
      <c r="AJ140" s="1086"/>
      <c r="AK140" s="1086"/>
      <c r="AL140" s="1086"/>
      <c r="AM140" s="123"/>
      <c r="AN140" s="123"/>
      <c r="AO140" s="123"/>
      <c r="AP140" s="123"/>
      <c r="AQ140" s="123"/>
      <c r="AR140" s="878"/>
    </row>
    <row r="141" spans="1:44 1025:1025" s="116" customFormat="1" ht="40.15" customHeight="1" x14ac:dyDescent="0.2">
      <c r="A141" s="1598">
        <f>A137+1</f>
        <v>37</v>
      </c>
      <c r="B141" s="1285">
        <v>2245227</v>
      </c>
      <c r="C141" s="1343" t="s">
        <v>720</v>
      </c>
      <c r="D141" s="1817">
        <f>F141</f>
        <v>0.22199999999999998</v>
      </c>
      <c r="E141" s="1901">
        <f>G141</f>
        <v>2775.5</v>
      </c>
      <c r="F141" s="1817">
        <f>0.219+0.081-0.078</f>
        <v>0.22199999999999998</v>
      </c>
      <c r="G141" s="1901">
        <f>Q142</f>
        <v>2775.5</v>
      </c>
      <c r="H141" s="996"/>
      <c r="I141" s="996"/>
      <c r="J141" s="996"/>
      <c r="K141" s="996"/>
      <c r="L141" s="996"/>
      <c r="M141" s="996"/>
      <c r="N141" s="1576" t="s">
        <v>441</v>
      </c>
      <c r="O141" s="1576" t="s">
        <v>1407</v>
      </c>
      <c r="P141" s="1374" t="s">
        <v>5</v>
      </c>
      <c r="Q141" s="906">
        <v>0.222</v>
      </c>
      <c r="R141" s="906" t="s">
        <v>2</v>
      </c>
      <c r="S141" s="1380">
        <f>6333.3552-S143-S144</f>
        <v>5754.9115000000002</v>
      </c>
      <c r="T141" s="906"/>
      <c r="U141" s="906"/>
      <c r="V141" s="906"/>
      <c r="W141" s="892"/>
      <c r="X141" s="906"/>
      <c r="Y141" s="897"/>
      <c r="Z141" s="1086"/>
      <c r="AA141" s="1086"/>
      <c r="AB141" s="1086"/>
      <c r="AC141" s="1086"/>
      <c r="AD141" s="1086"/>
      <c r="AE141" s="1086"/>
      <c r="AF141" s="1086"/>
      <c r="AG141" s="1086"/>
      <c r="AH141" s="1086"/>
      <c r="AI141" s="1086"/>
      <c r="AJ141" s="1086"/>
      <c r="AK141" s="1086"/>
      <c r="AL141" s="1086"/>
      <c r="AM141" s="123"/>
      <c r="AN141" s="123"/>
      <c r="AO141" s="123"/>
      <c r="AP141" s="123"/>
      <c r="AQ141" s="123"/>
      <c r="AR141" s="1233" t="s">
        <v>1387</v>
      </c>
    </row>
    <row r="142" spans="1:44 1025:1025" s="116" customFormat="1" ht="40.15" customHeight="1" x14ac:dyDescent="0.2">
      <c r="A142" s="1263"/>
      <c r="B142" s="1220"/>
      <c r="C142" s="1699"/>
      <c r="D142" s="1913"/>
      <c r="E142" s="1265"/>
      <c r="F142" s="1913"/>
      <c r="G142" s="1265"/>
      <c r="H142" s="996"/>
      <c r="I142" s="996"/>
      <c r="J142" s="996"/>
      <c r="K142" s="996"/>
      <c r="L142" s="996"/>
      <c r="M142" s="996"/>
      <c r="N142" s="1576"/>
      <c r="O142" s="1576"/>
      <c r="P142" s="1375"/>
      <c r="Q142" s="897">
        <v>2775.5</v>
      </c>
      <c r="R142" s="906" t="s">
        <v>4</v>
      </c>
      <c r="S142" s="1335"/>
      <c r="T142" s="906"/>
      <c r="U142" s="906"/>
      <c r="V142" s="906"/>
      <c r="W142" s="892"/>
      <c r="X142" s="906"/>
      <c r="Y142" s="897"/>
      <c r="Z142" s="1086"/>
      <c r="AA142" s="1086"/>
      <c r="AB142" s="1086"/>
      <c r="AC142" s="1086"/>
      <c r="AD142" s="1086"/>
      <c r="AE142" s="1086"/>
      <c r="AF142" s="1086"/>
      <c r="AG142" s="1086"/>
      <c r="AH142" s="1086"/>
      <c r="AI142" s="1086"/>
      <c r="AJ142" s="1086"/>
      <c r="AK142" s="1086"/>
      <c r="AL142" s="1086"/>
      <c r="AM142" s="123"/>
      <c r="AN142" s="123"/>
      <c r="AO142" s="123"/>
      <c r="AP142" s="123"/>
      <c r="AQ142" s="123"/>
      <c r="AR142" s="1233"/>
    </row>
    <row r="143" spans="1:44 1025:1025" s="116" customFormat="1" ht="27" customHeight="1" x14ac:dyDescent="0.2">
      <c r="A143" s="1263"/>
      <c r="B143" s="1220"/>
      <c r="C143" s="1699"/>
      <c r="D143" s="1913"/>
      <c r="E143" s="1265"/>
      <c r="F143" s="1913"/>
      <c r="G143" s="1265"/>
      <c r="H143" s="996"/>
      <c r="I143" s="996"/>
      <c r="J143" s="996"/>
      <c r="K143" s="996"/>
      <c r="L143" s="996"/>
      <c r="M143" s="996"/>
      <c r="N143" s="1576"/>
      <c r="O143" s="1576"/>
      <c r="P143" s="878" t="s">
        <v>6</v>
      </c>
      <c r="Q143" s="897">
        <v>0.42730000000000001</v>
      </c>
      <c r="R143" s="1120" t="s">
        <v>2</v>
      </c>
      <c r="S143" s="650">
        <v>0.8417</v>
      </c>
      <c r="T143" s="906"/>
      <c r="U143" s="906"/>
      <c r="V143" s="906"/>
      <c r="W143" s="892"/>
      <c r="X143" s="906"/>
      <c r="Y143" s="897"/>
      <c r="Z143" s="1086"/>
      <c r="AA143" s="1086"/>
      <c r="AB143" s="1086"/>
      <c r="AC143" s="1086"/>
      <c r="AD143" s="1086"/>
      <c r="AE143" s="1086"/>
      <c r="AF143" s="1086"/>
      <c r="AG143" s="1086"/>
      <c r="AH143" s="1086"/>
      <c r="AI143" s="1086"/>
      <c r="AJ143" s="1086"/>
      <c r="AK143" s="1086"/>
      <c r="AL143" s="1086"/>
      <c r="AM143" s="123"/>
      <c r="AN143" s="123"/>
      <c r="AO143" s="123"/>
      <c r="AP143" s="123"/>
      <c r="AQ143" s="123"/>
      <c r="AR143" s="878"/>
    </row>
    <row r="144" spans="1:44 1025:1025" s="116" customFormat="1" ht="27" customHeight="1" thickBot="1" x14ac:dyDescent="0.25">
      <c r="A144" s="1241"/>
      <c r="B144" s="1213"/>
      <c r="C144" s="1273"/>
      <c r="D144" s="1818"/>
      <c r="E144" s="1902"/>
      <c r="F144" s="1818"/>
      <c r="G144" s="1902"/>
      <c r="H144" s="996"/>
      <c r="I144" s="996"/>
      <c r="J144" s="996"/>
      <c r="K144" s="996"/>
      <c r="L144" s="996"/>
      <c r="M144" s="996"/>
      <c r="N144" s="1375"/>
      <c r="O144" s="1375"/>
      <c r="P144" s="885" t="s">
        <v>11</v>
      </c>
      <c r="Q144" s="884">
        <v>164.3</v>
      </c>
      <c r="R144" s="884" t="s">
        <v>4</v>
      </c>
      <c r="S144" s="562">
        <v>577.60199999999998</v>
      </c>
      <c r="T144" s="906"/>
      <c r="U144" s="906"/>
      <c r="V144" s="906"/>
      <c r="W144" s="892"/>
      <c r="X144" s="906"/>
      <c r="Y144" s="897"/>
      <c r="Z144" s="1086"/>
      <c r="AA144" s="1086"/>
      <c r="AB144" s="1086"/>
      <c r="AC144" s="1086"/>
      <c r="AD144" s="1086"/>
      <c r="AE144" s="1086"/>
      <c r="AF144" s="1086"/>
      <c r="AG144" s="1086"/>
      <c r="AH144" s="1086"/>
      <c r="AI144" s="1086"/>
      <c r="AJ144" s="1086"/>
      <c r="AK144" s="1086"/>
      <c r="AL144" s="1086"/>
      <c r="AM144" s="123"/>
      <c r="AN144" s="123"/>
      <c r="AO144" s="123"/>
      <c r="AP144" s="123"/>
      <c r="AQ144" s="123"/>
      <c r="AR144" s="878"/>
    </row>
    <row r="145" spans="1:44" s="116" customFormat="1" ht="54" customHeight="1" x14ac:dyDescent="0.2">
      <c r="A145" s="1598">
        <f>A141+1</f>
        <v>38</v>
      </c>
      <c r="B145" s="1285">
        <v>2240326</v>
      </c>
      <c r="C145" s="1343" t="s">
        <v>186</v>
      </c>
      <c r="D145" s="1817">
        <f>F145</f>
        <v>3.2450000000000001</v>
      </c>
      <c r="E145" s="1901">
        <f>G145</f>
        <v>21743.5</v>
      </c>
      <c r="F145" s="1817">
        <f>3.2+0.045</f>
        <v>3.2450000000000001</v>
      </c>
      <c r="G145" s="1380">
        <f>Q146</f>
        <v>21743.5</v>
      </c>
      <c r="H145" s="996"/>
      <c r="I145" s="996"/>
      <c r="J145" s="996"/>
      <c r="K145" s="996"/>
      <c r="L145" s="996"/>
      <c r="M145" s="996"/>
      <c r="N145" s="1374" t="s">
        <v>441</v>
      </c>
      <c r="O145" s="1374" t="s">
        <v>1408</v>
      </c>
      <c r="P145" s="1374" t="s">
        <v>5</v>
      </c>
      <c r="Q145" s="906">
        <v>3.2450000000000001</v>
      </c>
      <c r="R145" s="906" t="s">
        <v>2</v>
      </c>
      <c r="S145" s="1380">
        <f>40563.6612-S147</f>
        <v>40519.832600000002</v>
      </c>
      <c r="T145" s="906"/>
      <c r="U145" s="906"/>
      <c r="V145" s="906"/>
      <c r="W145" s="892"/>
      <c r="X145" s="906"/>
      <c r="Y145" s="897"/>
      <c r="Z145" s="1086"/>
      <c r="AA145" s="1086"/>
      <c r="AB145" s="1086"/>
      <c r="AC145" s="1086"/>
      <c r="AD145" s="1086"/>
      <c r="AE145" s="1086"/>
      <c r="AF145" s="1086"/>
      <c r="AG145" s="1086"/>
      <c r="AH145" s="1086"/>
      <c r="AI145" s="1086"/>
      <c r="AJ145" s="1086"/>
      <c r="AK145" s="1086"/>
      <c r="AL145" s="1086"/>
      <c r="AM145" s="123"/>
      <c r="AN145" s="123"/>
      <c r="AO145" s="123"/>
      <c r="AP145" s="123"/>
      <c r="AQ145" s="123"/>
      <c r="AR145" s="1233" t="s">
        <v>1388</v>
      </c>
    </row>
    <row r="146" spans="1:44" s="116" customFormat="1" ht="53.65" customHeight="1" x14ac:dyDescent="0.2">
      <c r="A146" s="1263"/>
      <c r="B146" s="1220"/>
      <c r="C146" s="1699"/>
      <c r="D146" s="1913"/>
      <c r="E146" s="1265"/>
      <c r="F146" s="1913"/>
      <c r="G146" s="1346"/>
      <c r="H146" s="996"/>
      <c r="I146" s="996"/>
      <c r="J146" s="996"/>
      <c r="K146" s="996"/>
      <c r="L146" s="996"/>
      <c r="M146" s="996"/>
      <c r="N146" s="1576"/>
      <c r="O146" s="1576"/>
      <c r="P146" s="1375"/>
      <c r="Q146" s="897">
        <v>21743.5</v>
      </c>
      <c r="R146" s="906" t="s">
        <v>4</v>
      </c>
      <c r="S146" s="1335"/>
      <c r="T146" s="906"/>
      <c r="U146" s="906"/>
      <c r="V146" s="906"/>
      <c r="W146" s="892"/>
      <c r="X146" s="906"/>
      <c r="Y146" s="897"/>
      <c r="Z146" s="1086"/>
      <c r="AA146" s="1086"/>
      <c r="AB146" s="1086"/>
      <c r="AC146" s="1086"/>
      <c r="AD146" s="1086"/>
      <c r="AE146" s="1086"/>
      <c r="AF146" s="1086"/>
      <c r="AG146" s="1086"/>
      <c r="AH146" s="1086"/>
      <c r="AI146" s="1086"/>
      <c r="AJ146" s="1086"/>
      <c r="AK146" s="1086"/>
      <c r="AL146" s="1086"/>
      <c r="AM146" s="123"/>
      <c r="AN146" s="123"/>
      <c r="AO146" s="123"/>
      <c r="AP146" s="123"/>
      <c r="AQ146" s="123"/>
      <c r="AR146" s="1233"/>
    </row>
    <row r="147" spans="1:44" s="116" customFormat="1" ht="24.4" customHeight="1" thickBot="1" x14ac:dyDescent="0.25">
      <c r="A147" s="1241"/>
      <c r="B147" s="1213"/>
      <c r="C147" s="1273"/>
      <c r="D147" s="1818"/>
      <c r="E147" s="1902"/>
      <c r="F147" s="1818"/>
      <c r="G147" s="1335"/>
      <c r="H147" s="996"/>
      <c r="I147" s="996"/>
      <c r="J147" s="996"/>
      <c r="K147" s="996"/>
      <c r="L147" s="996"/>
      <c r="M147" s="996"/>
      <c r="N147" s="1375"/>
      <c r="O147" s="1375"/>
      <c r="P147" s="885" t="s">
        <v>11</v>
      </c>
      <c r="Q147" s="884">
        <v>174</v>
      </c>
      <c r="R147" s="884" t="s">
        <v>4</v>
      </c>
      <c r="S147" s="562">
        <v>43.828600000000002</v>
      </c>
      <c r="T147" s="906"/>
      <c r="U147" s="906"/>
      <c r="V147" s="906"/>
      <c r="W147" s="892"/>
      <c r="X147" s="906"/>
      <c r="Y147" s="897"/>
      <c r="Z147" s="1086"/>
      <c r="AA147" s="1086"/>
      <c r="AB147" s="1086"/>
      <c r="AC147" s="1086"/>
      <c r="AD147" s="1086"/>
      <c r="AE147" s="1086"/>
      <c r="AF147" s="1086"/>
      <c r="AG147" s="1086"/>
      <c r="AH147" s="1086"/>
      <c r="AI147" s="1086"/>
      <c r="AJ147" s="1086"/>
      <c r="AK147" s="1086"/>
      <c r="AL147" s="1086"/>
      <c r="AM147" s="123"/>
      <c r="AN147" s="123"/>
      <c r="AO147" s="123"/>
      <c r="AP147" s="123"/>
      <c r="AQ147" s="123"/>
      <c r="AR147" s="878"/>
    </row>
    <row r="148" spans="1:44" s="116" customFormat="1" ht="40.15" customHeight="1" x14ac:dyDescent="0.2">
      <c r="A148" s="1598">
        <f>A145+1</f>
        <v>39</v>
      </c>
      <c r="B148" s="1827" t="s">
        <v>314</v>
      </c>
      <c r="C148" s="1389" t="s">
        <v>165</v>
      </c>
      <c r="D148" s="1374">
        <f>F148</f>
        <v>2.6540000000000004</v>
      </c>
      <c r="E148" s="1901">
        <f>G148</f>
        <v>28452.799999999999</v>
      </c>
      <c r="F148" s="1374">
        <f>2.704-0.05</f>
        <v>2.6540000000000004</v>
      </c>
      <c r="G148" s="1380">
        <f>Q149</f>
        <v>28452.799999999999</v>
      </c>
      <c r="H148" s="906"/>
      <c r="I148" s="1120"/>
      <c r="J148" s="1120"/>
      <c r="K148" s="1120"/>
      <c r="L148" s="1120"/>
      <c r="M148" s="1120"/>
      <c r="N148" s="1374" t="s">
        <v>441</v>
      </c>
      <c r="O148" s="2091" t="s">
        <v>1467</v>
      </c>
      <c r="P148" s="1374" t="s">
        <v>5</v>
      </c>
      <c r="Q148" s="906">
        <f>2.704-0.05</f>
        <v>2.6540000000000004</v>
      </c>
      <c r="R148" s="1120" t="s">
        <v>2</v>
      </c>
      <c r="S148" s="2089">
        <f>48221.1371999999-S150-S151</f>
        <v>45678.935099999901</v>
      </c>
      <c r="T148" s="290"/>
      <c r="U148" s="290"/>
      <c r="V148" s="460"/>
      <c r="W148" s="906"/>
      <c r="X148" s="1120"/>
      <c r="Y148" s="492"/>
      <c r="Z148" s="1086"/>
      <c r="AA148" s="1086"/>
      <c r="AB148" s="1086"/>
      <c r="AC148" s="1086"/>
      <c r="AD148" s="1086"/>
      <c r="AE148" s="1086"/>
      <c r="AF148" s="1086"/>
      <c r="AG148" s="1086"/>
      <c r="AH148" s="1086"/>
      <c r="AI148" s="1086"/>
      <c r="AJ148" s="1086"/>
      <c r="AK148" s="1086"/>
      <c r="AL148" s="1086"/>
      <c r="AM148" s="123"/>
      <c r="AN148" s="123"/>
      <c r="AO148" s="123"/>
      <c r="AP148" s="123"/>
      <c r="AQ148" s="123"/>
      <c r="AR148" s="1233" t="s">
        <v>1389</v>
      </c>
    </row>
    <row r="149" spans="1:44" s="116" customFormat="1" ht="45" customHeight="1" x14ac:dyDescent="0.2">
      <c r="A149" s="1263"/>
      <c r="B149" s="2106"/>
      <c r="C149" s="1633"/>
      <c r="D149" s="1576"/>
      <c r="E149" s="1265"/>
      <c r="F149" s="1576"/>
      <c r="G149" s="1346"/>
      <c r="H149" s="906"/>
      <c r="I149" s="1120"/>
      <c r="J149" s="1120"/>
      <c r="K149" s="1120"/>
      <c r="L149" s="1120"/>
      <c r="M149" s="1120"/>
      <c r="N149" s="1576"/>
      <c r="O149" s="1783"/>
      <c r="P149" s="1375"/>
      <c r="Q149" s="897">
        <v>28452.799999999999</v>
      </c>
      <c r="R149" s="1120" t="s">
        <v>4</v>
      </c>
      <c r="S149" s="2090"/>
      <c r="T149" s="290"/>
      <c r="U149" s="290"/>
      <c r="V149" s="460"/>
      <c r="W149" s="892"/>
      <c r="X149" s="1120"/>
      <c r="Y149" s="492"/>
      <c r="Z149" s="1086"/>
      <c r="AA149" s="1086"/>
      <c r="AB149" s="1086"/>
      <c r="AC149" s="1086"/>
      <c r="AD149" s="1086"/>
      <c r="AE149" s="1086"/>
      <c r="AF149" s="1086"/>
      <c r="AG149" s="1086"/>
      <c r="AH149" s="1086"/>
      <c r="AI149" s="1086"/>
      <c r="AJ149" s="1086"/>
      <c r="AK149" s="1086"/>
      <c r="AL149" s="1086"/>
      <c r="AM149" s="123"/>
      <c r="AN149" s="123"/>
      <c r="AO149" s="123"/>
      <c r="AP149" s="123"/>
      <c r="AQ149" s="123"/>
      <c r="AR149" s="1233"/>
    </row>
    <row r="150" spans="1:44" s="116" customFormat="1" ht="23.85" customHeight="1" x14ac:dyDescent="0.2">
      <c r="A150" s="1263"/>
      <c r="B150" s="2106"/>
      <c r="C150" s="1633"/>
      <c r="D150" s="1576"/>
      <c r="E150" s="1265"/>
      <c r="F150" s="1576"/>
      <c r="G150" s="1346"/>
      <c r="H150" s="996"/>
      <c r="I150" s="1058"/>
      <c r="J150" s="1058"/>
      <c r="K150" s="1058"/>
      <c r="L150" s="1058"/>
      <c r="M150" s="1058"/>
      <c r="N150" s="1576"/>
      <c r="O150" s="1783"/>
      <c r="P150" s="878" t="s">
        <v>6</v>
      </c>
      <c r="Q150" s="897">
        <v>2.7650000000000001</v>
      </c>
      <c r="R150" s="1120" t="s">
        <v>2</v>
      </c>
      <c r="S150" s="650">
        <v>10.5924</v>
      </c>
      <c r="T150" s="324"/>
      <c r="U150" s="324"/>
      <c r="V150" s="510"/>
      <c r="W150" s="892"/>
      <c r="X150" s="1120"/>
      <c r="Y150" s="511"/>
      <c r="Z150" s="1086"/>
      <c r="AA150" s="1086"/>
      <c r="AB150" s="1086"/>
      <c r="AC150" s="1086"/>
      <c r="AD150" s="1086"/>
      <c r="AE150" s="1086"/>
      <c r="AF150" s="1086"/>
      <c r="AG150" s="1086"/>
      <c r="AH150" s="1086"/>
      <c r="AI150" s="1086"/>
      <c r="AJ150" s="1086"/>
      <c r="AK150" s="1086"/>
      <c r="AL150" s="1086"/>
      <c r="AM150" s="123"/>
      <c r="AN150" s="123"/>
      <c r="AO150" s="123"/>
      <c r="AP150" s="123"/>
      <c r="AQ150" s="123"/>
      <c r="AR150" s="878"/>
    </row>
    <row r="151" spans="1:44" s="116" customFormat="1" ht="23.85" customHeight="1" thickBot="1" x14ac:dyDescent="0.25">
      <c r="A151" s="1241"/>
      <c r="B151" s="1828"/>
      <c r="C151" s="1390"/>
      <c r="D151" s="1375"/>
      <c r="E151" s="1902"/>
      <c r="F151" s="1375"/>
      <c r="G151" s="1335"/>
      <c r="H151" s="996"/>
      <c r="I151" s="1058"/>
      <c r="J151" s="1058"/>
      <c r="K151" s="1058"/>
      <c r="L151" s="1058"/>
      <c r="M151" s="1058"/>
      <c r="N151" s="1375"/>
      <c r="O151" s="2092"/>
      <c r="P151" s="885" t="s">
        <v>11</v>
      </c>
      <c r="Q151" s="884">
        <f>134.2+2545.9</f>
        <v>2680.1</v>
      </c>
      <c r="R151" s="884" t="s">
        <v>4</v>
      </c>
      <c r="S151" s="562">
        <v>2531.6097</v>
      </c>
      <c r="T151" s="324"/>
      <c r="U151" s="324"/>
      <c r="V151" s="510"/>
      <c r="W151" s="892"/>
      <c r="X151" s="1120"/>
      <c r="Y151" s="511"/>
      <c r="Z151" s="1086"/>
      <c r="AA151" s="1086"/>
      <c r="AB151" s="1086"/>
      <c r="AC151" s="1086"/>
      <c r="AD151" s="1086"/>
      <c r="AE151" s="1086"/>
      <c r="AF151" s="1086"/>
      <c r="AG151" s="1086"/>
      <c r="AH151" s="1086"/>
      <c r="AI151" s="1086"/>
      <c r="AJ151" s="1086"/>
      <c r="AK151" s="1086"/>
      <c r="AL151" s="1086"/>
      <c r="AM151" s="123"/>
      <c r="AN151" s="123"/>
      <c r="AO151" s="123"/>
      <c r="AP151" s="123"/>
      <c r="AQ151" s="123"/>
      <c r="AR151" s="878"/>
    </row>
    <row r="152" spans="1:44" s="116" customFormat="1" ht="40.15" customHeight="1" x14ac:dyDescent="0.2">
      <c r="A152" s="1225">
        <f>A148+1</f>
        <v>40</v>
      </c>
      <c r="B152" s="1300" t="s">
        <v>814</v>
      </c>
      <c r="C152" s="1300" t="s">
        <v>815</v>
      </c>
      <c r="D152" s="2289">
        <f>F152</f>
        <v>0.71</v>
      </c>
      <c r="E152" s="2291">
        <f>G152</f>
        <v>6334.9</v>
      </c>
      <c r="F152" s="2289">
        <f>0.745-0.014-0.021</f>
        <v>0.71</v>
      </c>
      <c r="G152" s="2288">
        <f>Q153</f>
        <v>6334.9</v>
      </c>
      <c r="H152" s="996"/>
      <c r="I152" s="996"/>
      <c r="J152" s="996"/>
      <c r="K152" s="996"/>
      <c r="L152" s="996"/>
      <c r="M152" s="996"/>
      <c r="N152" s="1374" t="s">
        <v>441</v>
      </c>
      <c r="O152" s="1374" t="s">
        <v>1469</v>
      </c>
      <c r="P152" s="1374" t="s">
        <v>5</v>
      </c>
      <c r="Q152" s="906">
        <f>0.731-0.021</f>
        <v>0.71</v>
      </c>
      <c r="R152" s="906" t="s">
        <v>2</v>
      </c>
      <c r="S152" s="1374">
        <f>14282.466-S154</f>
        <v>12742.629000000001</v>
      </c>
      <c r="T152" s="460"/>
      <c r="U152" s="460"/>
      <c r="V152" s="460"/>
      <c r="W152" s="906"/>
      <c r="X152" s="906"/>
      <c r="Y152" s="576"/>
      <c r="Z152" s="1086"/>
      <c r="AA152" s="1086"/>
      <c r="AB152" s="1086"/>
      <c r="AC152" s="1086"/>
      <c r="AD152" s="1086"/>
      <c r="AE152" s="1086"/>
      <c r="AF152" s="1086"/>
      <c r="AG152" s="1086"/>
      <c r="AH152" s="1086"/>
      <c r="AI152" s="1086"/>
      <c r="AJ152" s="1086"/>
      <c r="AK152" s="1086"/>
      <c r="AL152" s="1086"/>
      <c r="AM152" s="123"/>
      <c r="AN152" s="123"/>
      <c r="AO152" s="123"/>
      <c r="AP152" s="123"/>
      <c r="AQ152" s="123"/>
      <c r="AR152" s="1233" t="s">
        <v>1390</v>
      </c>
    </row>
    <row r="153" spans="1:44" s="116" customFormat="1" ht="40.15" customHeight="1" x14ac:dyDescent="0.2">
      <c r="A153" s="2412"/>
      <c r="B153" s="2292"/>
      <c r="C153" s="2292"/>
      <c r="D153" s="2290"/>
      <c r="E153" s="2159"/>
      <c r="F153" s="2290"/>
      <c r="G153" s="2153"/>
      <c r="H153" s="996"/>
      <c r="I153" s="996"/>
      <c r="J153" s="996"/>
      <c r="K153" s="996"/>
      <c r="L153" s="996"/>
      <c r="M153" s="996"/>
      <c r="N153" s="1576"/>
      <c r="O153" s="1576"/>
      <c r="P153" s="1375"/>
      <c r="Q153" s="897">
        <f>5621.2+324.2+389.5</f>
        <v>6334.9</v>
      </c>
      <c r="R153" s="906" t="s">
        <v>4</v>
      </c>
      <c r="S153" s="1375"/>
      <c r="T153" s="460"/>
      <c r="U153" s="460"/>
      <c r="V153" s="460"/>
      <c r="W153" s="897"/>
      <c r="X153" s="906"/>
      <c r="Y153" s="576"/>
      <c r="Z153" s="1086"/>
      <c r="AA153" s="1086"/>
      <c r="AB153" s="1086"/>
      <c r="AC153" s="1086"/>
      <c r="AD153" s="1086"/>
      <c r="AE153" s="1086"/>
      <c r="AF153" s="1086"/>
      <c r="AG153" s="1086"/>
      <c r="AH153" s="1086"/>
      <c r="AI153" s="1086"/>
      <c r="AJ153" s="1086"/>
      <c r="AK153" s="1086"/>
      <c r="AL153" s="1086"/>
      <c r="AM153" s="123"/>
      <c r="AN153" s="123"/>
      <c r="AO153" s="123"/>
      <c r="AP153" s="123"/>
      <c r="AQ153" s="123"/>
      <c r="AR153" s="1233"/>
    </row>
    <row r="154" spans="1:44" s="116" customFormat="1" ht="22.5" customHeight="1" thickBot="1" x14ac:dyDescent="0.25">
      <c r="A154" s="2412"/>
      <c r="B154" s="2292"/>
      <c r="C154" s="2292"/>
      <c r="D154" s="2290"/>
      <c r="E154" s="2159"/>
      <c r="F154" s="2290"/>
      <c r="G154" s="2153"/>
      <c r="H154" s="996"/>
      <c r="I154" s="996"/>
      <c r="J154" s="996"/>
      <c r="K154" s="996"/>
      <c r="L154" s="996"/>
      <c r="M154" s="996"/>
      <c r="N154" s="1375"/>
      <c r="O154" s="1375"/>
      <c r="P154" s="885" t="s">
        <v>11</v>
      </c>
      <c r="Q154" s="884">
        <v>1015.1</v>
      </c>
      <c r="R154" s="884" t="s">
        <v>4</v>
      </c>
      <c r="S154" s="643">
        <v>1539.837</v>
      </c>
      <c r="T154" s="996"/>
      <c r="U154" s="996"/>
      <c r="V154" s="996"/>
      <c r="W154" s="897"/>
      <c r="X154" s="906"/>
      <c r="Y154" s="898"/>
      <c r="Z154" s="1086"/>
      <c r="AA154" s="1086"/>
      <c r="AB154" s="1086"/>
      <c r="AC154" s="1086"/>
      <c r="AD154" s="1086"/>
      <c r="AE154" s="1086"/>
      <c r="AF154" s="1086"/>
      <c r="AG154" s="1086"/>
      <c r="AH154" s="1086"/>
      <c r="AI154" s="1086"/>
      <c r="AJ154" s="1086"/>
      <c r="AK154" s="1086"/>
      <c r="AL154" s="1086"/>
      <c r="AM154" s="123"/>
      <c r="AN154" s="123"/>
      <c r="AO154" s="123"/>
      <c r="AP154" s="123"/>
      <c r="AQ154" s="123"/>
      <c r="AR154" s="878"/>
    </row>
    <row r="155" spans="1:44" s="116" customFormat="1" ht="86.25" customHeight="1" x14ac:dyDescent="0.2">
      <c r="A155" s="1241"/>
      <c r="B155" s="1213"/>
      <c r="C155" s="1213"/>
      <c r="D155" s="1818"/>
      <c r="E155" s="1902"/>
      <c r="F155" s="1818"/>
      <c r="G155" s="1335"/>
      <c r="H155" s="996"/>
      <c r="I155" s="996"/>
      <c r="J155" s="996"/>
      <c r="K155" s="996"/>
      <c r="L155" s="996"/>
      <c r="M155" s="996"/>
      <c r="N155" s="1001"/>
      <c r="O155" s="1001"/>
      <c r="P155" s="936"/>
      <c r="Q155" s="900"/>
      <c r="R155" s="900"/>
      <c r="S155" s="848"/>
      <c r="T155" s="2420" t="s">
        <v>1088</v>
      </c>
      <c r="U155" s="2420" t="s">
        <v>1088</v>
      </c>
      <c r="V155" s="878" t="s">
        <v>1046</v>
      </c>
      <c r="W155" s="878">
        <v>1</v>
      </c>
      <c r="X155" s="878" t="s">
        <v>8</v>
      </c>
      <c r="Y155" s="2421">
        <v>525.70000000000005</v>
      </c>
      <c r="Z155" s="1086"/>
      <c r="AA155" s="1086"/>
      <c r="AB155" s="1086"/>
      <c r="AC155" s="1086"/>
      <c r="AD155" s="1086"/>
      <c r="AE155" s="1086"/>
      <c r="AF155" s="1086"/>
      <c r="AG155" s="1086"/>
      <c r="AH155" s="1086"/>
      <c r="AI155" s="1086"/>
      <c r="AJ155" s="1086"/>
      <c r="AK155" s="1086"/>
      <c r="AL155" s="1086"/>
      <c r="AM155" s="850"/>
      <c r="AN155" s="850"/>
      <c r="AO155" s="850"/>
      <c r="AP155" s="850"/>
      <c r="AQ155" s="850"/>
      <c r="AR155" s="1131"/>
    </row>
    <row r="156" spans="1:44" s="116" customFormat="1" ht="37.9" customHeight="1" x14ac:dyDescent="0.2">
      <c r="A156" s="1598">
        <f>A152+1</f>
        <v>41</v>
      </c>
      <c r="B156" s="1374" t="s">
        <v>339</v>
      </c>
      <c r="C156" s="1389" t="s">
        <v>193</v>
      </c>
      <c r="D156" s="1374">
        <f>F156</f>
        <v>0.54</v>
      </c>
      <c r="E156" s="1901">
        <f>G156</f>
        <v>3798</v>
      </c>
      <c r="F156" s="1374">
        <f>0.546-0.006</f>
        <v>0.54</v>
      </c>
      <c r="G156" s="1380">
        <f>Q157</f>
        <v>3798</v>
      </c>
      <c r="H156" s="906"/>
      <c r="I156" s="906"/>
      <c r="J156" s="906"/>
      <c r="K156" s="906"/>
      <c r="L156" s="906"/>
      <c r="M156" s="906"/>
      <c r="N156" s="1374" t="s">
        <v>441</v>
      </c>
      <c r="O156" s="1374" t="s">
        <v>1471</v>
      </c>
      <c r="P156" s="1374" t="s">
        <v>5</v>
      </c>
      <c r="Q156" s="906">
        <f>0.546-0.006</f>
        <v>0.54</v>
      </c>
      <c r="R156" s="906" t="s">
        <v>2</v>
      </c>
      <c r="S156" s="1380">
        <f>8893.1604-S158-S159</f>
        <v>8725.5071000000007</v>
      </c>
      <c r="T156" s="290"/>
      <c r="U156" s="460"/>
      <c r="V156" s="460"/>
      <c r="W156" s="906"/>
      <c r="X156" s="906"/>
      <c r="Y156" s="492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3" t="s">
        <v>1385</v>
      </c>
    </row>
    <row r="157" spans="1:44" s="116" customFormat="1" ht="37.9" customHeight="1" x14ac:dyDescent="0.2">
      <c r="A157" s="1263"/>
      <c r="B157" s="1576"/>
      <c r="C157" s="1633"/>
      <c r="D157" s="1576"/>
      <c r="E157" s="1265"/>
      <c r="F157" s="1576"/>
      <c r="G157" s="1346"/>
      <c r="H157" s="906"/>
      <c r="I157" s="906"/>
      <c r="J157" s="906"/>
      <c r="K157" s="906"/>
      <c r="L157" s="906"/>
      <c r="M157" s="906"/>
      <c r="N157" s="1576"/>
      <c r="O157" s="1576"/>
      <c r="P157" s="1375"/>
      <c r="Q157" s="897">
        <v>3798</v>
      </c>
      <c r="R157" s="906" t="s">
        <v>4</v>
      </c>
      <c r="S157" s="1335"/>
      <c r="T157" s="290"/>
      <c r="U157" s="460"/>
      <c r="V157" s="460"/>
      <c r="W157" s="892"/>
      <c r="X157" s="906"/>
      <c r="Y157" s="492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3"/>
    </row>
    <row r="158" spans="1:44" s="116" customFormat="1" ht="18.75" customHeight="1" x14ac:dyDescent="0.2">
      <c r="A158" s="1263"/>
      <c r="B158" s="1576"/>
      <c r="C158" s="1633"/>
      <c r="D158" s="1576"/>
      <c r="E158" s="1265"/>
      <c r="F158" s="1576"/>
      <c r="G158" s="1346"/>
      <c r="H158" s="906"/>
      <c r="I158" s="906"/>
      <c r="J158" s="906"/>
      <c r="K158" s="906"/>
      <c r="L158" s="906"/>
      <c r="M158" s="906"/>
      <c r="N158" s="1576"/>
      <c r="O158" s="1576"/>
      <c r="P158" s="878" t="s">
        <v>6</v>
      </c>
      <c r="Q158" s="897">
        <v>5.6000000000000001E-2</v>
      </c>
      <c r="R158" s="1120" t="s">
        <v>2</v>
      </c>
      <c r="S158" s="650">
        <v>0.46329999999999999</v>
      </c>
      <c r="T158" s="290"/>
      <c r="U158" s="460"/>
      <c r="V158" s="460"/>
      <c r="W158" s="892"/>
      <c r="X158" s="906"/>
      <c r="Y158" s="492"/>
      <c r="Z158" s="123"/>
      <c r="AA158" s="123"/>
      <c r="AB158" s="123"/>
      <c r="AC158" s="123"/>
      <c r="AD158" s="123"/>
      <c r="AE158" s="1086"/>
      <c r="AF158" s="1086"/>
      <c r="AG158" s="1086"/>
      <c r="AH158" s="1086"/>
      <c r="AI158" s="1086"/>
      <c r="AJ158" s="1086"/>
      <c r="AK158" s="1086"/>
      <c r="AL158" s="1086"/>
      <c r="AM158" s="123"/>
      <c r="AN158" s="123"/>
      <c r="AO158" s="123"/>
      <c r="AP158" s="123"/>
      <c r="AQ158" s="123"/>
      <c r="AR158" s="878"/>
    </row>
    <row r="159" spans="1:44" s="116" customFormat="1" ht="18.75" customHeight="1" thickBot="1" x14ac:dyDescent="0.25">
      <c r="A159" s="1241"/>
      <c r="B159" s="1375"/>
      <c r="C159" s="1390"/>
      <c r="D159" s="1375"/>
      <c r="E159" s="1902"/>
      <c r="F159" s="1375"/>
      <c r="G159" s="1335"/>
      <c r="H159" s="906"/>
      <c r="I159" s="906"/>
      <c r="J159" s="906"/>
      <c r="K159" s="906"/>
      <c r="L159" s="906"/>
      <c r="M159" s="906"/>
      <c r="N159" s="1576"/>
      <c r="O159" s="1576"/>
      <c r="P159" s="885" t="s">
        <v>11</v>
      </c>
      <c r="Q159" s="884">
        <v>128.88</v>
      </c>
      <c r="R159" s="884" t="s">
        <v>4</v>
      </c>
      <c r="S159" s="562">
        <v>167.19</v>
      </c>
      <c r="T159" s="290"/>
      <c r="U159" s="460"/>
      <c r="V159" s="460"/>
      <c r="W159" s="892"/>
      <c r="X159" s="906"/>
      <c r="Y159" s="492"/>
      <c r="Z159" s="123"/>
      <c r="AA159" s="123"/>
      <c r="AB159" s="123"/>
      <c r="AC159" s="123"/>
      <c r="AD159" s="123"/>
      <c r="AE159" s="1086"/>
      <c r="AF159" s="1086"/>
      <c r="AG159" s="1086"/>
      <c r="AH159" s="1086"/>
      <c r="AI159" s="1086"/>
      <c r="AJ159" s="1086"/>
      <c r="AK159" s="1086"/>
      <c r="AL159" s="1086"/>
      <c r="AM159" s="123"/>
      <c r="AN159" s="123"/>
      <c r="AO159" s="123"/>
      <c r="AP159" s="123"/>
      <c r="AQ159" s="123"/>
      <c r="AR159" s="878"/>
    </row>
    <row r="160" spans="1:44" s="116" customFormat="1" ht="41.25" customHeight="1" x14ac:dyDescent="0.2">
      <c r="A160" s="1598">
        <f>A156+1</f>
        <v>42</v>
      </c>
      <c r="B160" s="1233" t="s">
        <v>770</v>
      </c>
      <c r="C160" s="1343" t="s">
        <v>771</v>
      </c>
      <c r="D160" s="2137">
        <f>F160</f>
        <v>0.52400000000000002</v>
      </c>
      <c r="E160" s="1229">
        <f>G160</f>
        <v>3835.4</v>
      </c>
      <c r="F160" s="2137">
        <f>0.515+0.01-0.001</f>
        <v>0.52400000000000002</v>
      </c>
      <c r="G160" s="1334">
        <f>Q161</f>
        <v>3835.4</v>
      </c>
      <c r="H160" s="906"/>
      <c r="I160" s="906"/>
      <c r="J160" s="906"/>
      <c r="K160" s="906"/>
      <c r="L160" s="906"/>
      <c r="M160" s="906"/>
      <c r="N160" s="1284" t="s">
        <v>441</v>
      </c>
      <c r="O160" s="2121" t="s">
        <v>1470</v>
      </c>
      <c r="P160" s="1374" t="s">
        <v>5</v>
      </c>
      <c r="Q160" s="906">
        <f>0.525-0.001</f>
        <v>0.52400000000000002</v>
      </c>
      <c r="R160" s="906" t="s">
        <v>2</v>
      </c>
      <c r="S160" s="1380">
        <f>15127.9596-S162-S163</f>
        <v>13794.279200000001</v>
      </c>
      <c r="T160" s="1120"/>
      <c r="U160" s="906"/>
      <c r="V160" s="906"/>
      <c r="W160" s="892"/>
      <c r="X160" s="906"/>
      <c r="Y160" s="650"/>
      <c r="Z160" s="123"/>
      <c r="AA160" s="123"/>
      <c r="AB160" s="123"/>
      <c r="AC160" s="123"/>
      <c r="AD160" s="123"/>
      <c r="AE160" s="1086"/>
      <c r="AF160" s="1086"/>
      <c r="AG160" s="1086"/>
      <c r="AH160" s="1086"/>
      <c r="AI160" s="1086"/>
      <c r="AJ160" s="1086"/>
      <c r="AK160" s="1086"/>
      <c r="AL160" s="1086"/>
      <c r="AM160" s="123"/>
      <c r="AN160" s="123"/>
      <c r="AO160" s="123"/>
      <c r="AP160" s="123"/>
      <c r="AQ160" s="123"/>
      <c r="AR160" s="1233" t="s">
        <v>1391</v>
      </c>
    </row>
    <row r="161" spans="1:44 1025:1025" s="116" customFormat="1" ht="41.25" customHeight="1" x14ac:dyDescent="0.2">
      <c r="A161" s="1263"/>
      <c r="B161" s="1233"/>
      <c r="C161" s="1699"/>
      <c r="D161" s="2137"/>
      <c r="E161" s="1229"/>
      <c r="F161" s="2137"/>
      <c r="G161" s="1334"/>
      <c r="H161" s="906"/>
      <c r="I161" s="906"/>
      <c r="J161" s="906"/>
      <c r="K161" s="906"/>
      <c r="L161" s="906"/>
      <c r="M161" s="906"/>
      <c r="N161" s="1284"/>
      <c r="O161" s="2121"/>
      <c r="P161" s="1375"/>
      <c r="Q161" s="897">
        <v>3835.4</v>
      </c>
      <c r="R161" s="906" t="s">
        <v>4</v>
      </c>
      <c r="S161" s="1335"/>
      <c r="T161" s="1120"/>
      <c r="U161" s="906"/>
      <c r="V161" s="906"/>
      <c r="W161" s="892"/>
      <c r="X161" s="906"/>
      <c r="Y161" s="650"/>
      <c r="Z161" s="123"/>
      <c r="AA161" s="123"/>
      <c r="AB161" s="123"/>
      <c r="AC161" s="123"/>
      <c r="AD161" s="123"/>
      <c r="AE161" s="1086"/>
      <c r="AF161" s="1086"/>
      <c r="AG161" s="1086"/>
      <c r="AH161" s="1086"/>
      <c r="AI161" s="1086"/>
      <c r="AJ161" s="1086"/>
      <c r="AK161" s="1086"/>
      <c r="AL161" s="1086"/>
      <c r="AM161" s="123"/>
      <c r="AN161" s="123"/>
      <c r="AO161" s="123"/>
      <c r="AP161" s="123"/>
      <c r="AQ161" s="123"/>
      <c r="AR161" s="1233"/>
    </row>
    <row r="162" spans="1:44 1025:1025" s="116" customFormat="1" ht="24.4" customHeight="1" x14ac:dyDescent="0.2">
      <c r="A162" s="1263"/>
      <c r="B162" s="1233"/>
      <c r="C162" s="1699"/>
      <c r="D162" s="2137"/>
      <c r="E162" s="1229"/>
      <c r="F162" s="2137"/>
      <c r="G162" s="1334"/>
      <c r="H162" s="996"/>
      <c r="I162" s="996"/>
      <c r="J162" s="996"/>
      <c r="K162" s="996"/>
      <c r="L162" s="996"/>
      <c r="M162" s="996"/>
      <c r="N162" s="1284"/>
      <c r="O162" s="2121"/>
      <c r="P162" s="878" t="s">
        <v>6</v>
      </c>
      <c r="Q162" s="906">
        <v>0.59899999999999998</v>
      </c>
      <c r="R162" s="1120" t="s">
        <v>2</v>
      </c>
      <c r="S162" s="1134">
        <v>2.42</v>
      </c>
      <c r="T162" s="1120"/>
      <c r="U162" s="906"/>
      <c r="V162" s="906"/>
      <c r="W162" s="892"/>
      <c r="X162" s="906"/>
      <c r="Y162" s="650"/>
      <c r="Z162" s="1086"/>
      <c r="AA162" s="1086"/>
      <c r="AB162" s="1086"/>
      <c r="AC162" s="1086"/>
      <c r="AD162" s="1086"/>
      <c r="AE162" s="1086"/>
      <c r="AF162" s="1086"/>
      <c r="AG162" s="1086"/>
      <c r="AH162" s="1086"/>
      <c r="AI162" s="1086"/>
      <c r="AJ162" s="1086"/>
      <c r="AK162" s="1086"/>
      <c r="AL162" s="1086"/>
      <c r="AM162" s="123"/>
      <c r="AN162" s="123"/>
      <c r="AO162" s="123"/>
      <c r="AP162" s="123"/>
      <c r="AQ162" s="123"/>
      <c r="AR162" s="878"/>
    </row>
    <row r="163" spans="1:44 1025:1025" s="116" customFormat="1" ht="24.4" customHeight="1" thickBot="1" x14ac:dyDescent="0.25">
      <c r="A163" s="1914"/>
      <c r="B163" s="1285"/>
      <c r="C163" s="1926"/>
      <c r="D163" s="1817"/>
      <c r="E163" s="1901"/>
      <c r="F163" s="1817"/>
      <c r="G163" s="1380"/>
      <c r="H163" s="943"/>
      <c r="I163" s="943"/>
      <c r="J163" s="943"/>
      <c r="K163" s="943"/>
      <c r="L163" s="943"/>
      <c r="M163" s="943"/>
      <c r="N163" s="1374"/>
      <c r="O163" s="2285"/>
      <c r="P163" s="965" t="s">
        <v>11</v>
      </c>
      <c r="Q163" s="891">
        <f>2106.7+2114.2</f>
        <v>4220.8999999999996</v>
      </c>
      <c r="R163" s="891" t="s">
        <v>4</v>
      </c>
      <c r="S163" s="644">
        <v>1331.2603999999999</v>
      </c>
      <c r="T163" s="1120"/>
      <c r="U163" s="906"/>
      <c r="V163" s="906"/>
      <c r="W163" s="892"/>
      <c r="X163" s="906"/>
      <c r="Y163" s="650"/>
      <c r="Z163" s="1086"/>
      <c r="AA163" s="1086"/>
      <c r="AB163" s="1086"/>
      <c r="AC163" s="1086"/>
      <c r="AD163" s="1086"/>
      <c r="AE163" s="1086"/>
      <c r="AF163" s="1086"/>
      <c r="AG163" s="1086"/>
      <c r="AH163" s="1086"/>
      <c r="AI163" s="1086"/>
      <c r="AJ163" s="1086"/>
      <c r="AK163" s="1086"/>
      <c r="AL163" s="1086"/>
      <c r="AM163" s="123"/>
      <c r="AN163" s="123"/>
      <c r="AO163" s="123"/>
      <c r="AP163" s="123"/>
      <c r="AQ163" s="123"/>
      <c r="AR163" s="878"/>
    </row>
    <row r="164" spans="1:44 1025:1025" s="116" customFormat="1" ht="34.15" customHeight="1" x14ac:dyDescent="0.2">
      <c r="A164" s="1909">
        <v>43</v>
      </c>
      <c r="B164" s="1238">
        <v>3407139</v>
      </c>
      <c r="C164" s="1780" t="s">
        <v>792</v>
      </c>
      <c r="D164" s="1911">
        <v>2.9510000000000001</v>
      </c>
      <c r="E164" s="2138">
        <f>D164*13404</f>
        <v>39555.203999999998</v>
      </c>
      <c r="F164" s="1911">
        <v>2.9510000000000001</v>
      </c>
      <c r="G164" s="2138">
        <f>F164*13404</f>
        <v>39555.203999999998</v>
      </c>
      <c r="H164" s="2427"/>
      <c r="I164" s="1079"/>
      <c r="J164" s="1079"/>
      <c r="K164" s="1079"/>
      <c r="L164" s="1079"/>
      <c r="M164" s="1079"/>
      <c r="N164" s="2295" t="s">
        <v>441</v>
      </c>
      <c r="O164" s="2126" t="s">
        <v>1468</v>
      </c>
      <c r="P164" s="1337" t="s">
        <v>5</v>
      </c>
      <c r="Q164" s="1079">
        <v>0.63100000000000001</v>
      </c>
      <c r="R164" s="1070" t="s">
        <v>2</v>
      </c>
      <c r="S164" s="2112">
        <v>14130.5628</v>
      </c>
      <c r="T164" s="415"/>
      <c r="U164" s="1096"/>
      <c r="V164" s="1096"/>
      <c r="W164" s="126"/>
      <c r="X164" s="1096"/>
      <c r="Y164" s="1096"/>
      <c r="Z164" s="1086"/>
      <c r="AA164" s="1086"/>
      <c r="AB164" s="1086"/>
      <c r="AC164" s="1086"/>
      <c r="AD164" s="1086"/>
      <c r="AE164" s="1086"/>
      <c r="AF164" s="1086"/>
      <c r="AG164" s="1086"/>
      <c r="AH164" s="1086"/>
      <c r="AI164" s="1086"/>
      <c r="AJ164" s="1086"/>
      <c r="AK164" s="1086"/>
      <c r="AL164" s="1086"/>
      <c r="AM164" s="1086"/>
      <c r="AN164" s="1086"/>
      <c r="AO164" s="1086"/>
      <c r="AP164" s="1086"/>
      <c r="AQ164" s="1086"/>
      <c r="AR164" s="1086"/>
    </row>
    <row r="165" spans="1:44 1025:1025" s="116" customFormat="1" ht="24.4" customHeight="1" thickBot="1" x14ac:dyDescent="0.25">
      <c r="A165" s="1910"/>
      <c r="B165" s="1239"/>
      <c r="C165" s="1908"/>
      <c r="D165" s="1912"/>
      <c r="E165" s="2139"/>
      <c r="F165" s="1912"/>
      <c r="G165" s="2139"/>
      <c r="H165" s="1141"/>
      <c r="I165" s="1141"/>
      <c r="J165" s="1141"/>
      <c r="K165" s="1141"/>
      <c r="L165" s="1141"/>
      <c r="M165" s="1141"/>
      <c r="N165" s="2296"/>
      <c r="O165" s="2127"/>
      <c r="P165" s="1339"/>
      <c r="Q165" s="916">
        <v>11177.5</v>
      </c>
      <c r="R165" s="884" t="s">
        <v>4</v>
      </c>
      <c r="S165" s="2113"/>
      <c r="T165" s="624"/>
      <c r="U165" s="906"/>
      <c r="V165" s="906"/>
      <c r="W165" s="892"/>
      <c r="X165" s="906"/>
      <c r="Y165" s="650"/>
      <c r="Z165" s="1086"/>
      <c r="AA165" s="1086"/>
      <c r="AB165" s="1086"/>
      <c r="AC165" s="1086"/>
      <c r="AD165" s="1086"/>
      <c r="AE165" s="1086"/>
      <c r="AF165" s="1086"/>
      <c r="AG165" s="1086"/>
      <c r="AH165" s="1086"/>
      <c r="AI165" s="1086"/>
      <c r="AJ165" s="1086"/>
      <c r="AK165" s="1086"/>
      <c r="AL165" s="1086"/>
      <c r="AM165" s="123"/>
      <c r="AN165" s="123"/>
      <c r="AO165" s="123"/>
      <c r="AP165" s="123"/>
      <c r="AQ165" s="123"/>
      <c r="AR165" s="878"/>
    </row>
    <row r="166" spans="1:44 1025:1025" s="546" customFormat="1" ht="34.15" customHeight="1" x14ac:dyDescent="0.2">
      <c r="A166" s="1914">
        <v>44</v>
      </c>
      <c r="B166" s="2104">
        <v>3407142</v>
      </c>
      <c r="C166" s="1632" t="s">
        <v>807</v>
      </c>
      <c r="D166" s="1338">
        <v>1.5329999999999999</v>
      </c>
      <c r="E166" s="2107">
        <v>30660</v>
      </c>
      <c r="F166" s="1338">
        <v>1.5329999999999999</v>
      </c>
      <c r="G166" s="1331">
        <f>E166</f>
        <v>30660</v>
      </c>
      <c r="H166" s="996"/>
      <c r="I166" s="1058"/>
      <c r="J166" s="1058"/>
      <c r="K166" s="1058"/>
      <c r="L166" s="1058"/>
      <c r="M166" s="1058"/>
      <c r="N166" s="1058"/>
      <c r="O166" s="1058"/>
      <c r="P166" s="1058"/>
      <c r="Q166" s="996"/>
      <c r="R166" s="1058"/>
      <c r="S166" s="1066"/>
      <c r="T166" s="1783" t="s">
        <v>1441</v>
      </c>
      <c r="U166" s="1783" t="s">
        <v>1442</v>
      </c>
      <c r="V166" s="1783" t="s">
        <v>5</v>
      </c>
      <c r="W166" s="1058">
        <v>1.48</v>
      </c>
      <c r="X166" s="1058" t="s">
        <v>2</v>
      </c>
      <c r="Y166" s="2428">
        <v>19733.95507</v>
      </c>
      <c r="Z166" s="1096"/>
      <c r="AA166" s="1096"/>
      <c r="AB166" s="1096"/>
      <c r="AC166" s="1096"/>
      <c r="AD166" s="491"/>
      <c r="AE166" s="491"/>
      <c r="AF166" s="491"/>
      <c r="AG166" s="491"/>
      <c r="AH166" s="491"/>
      <c r="AI166" s="491"/>
      <c r="AJ166" s="491"/>
      <c r="AK166" s="491"/>
      <c r="AL166" s="491"/>
      <c r="AM166" s="237"/>
      <c r="AN166" s="237"/>
      <c r="AO166" s="237"/>
      <c r="AP166" s="237"/>
      <c r="AQ166" s="237"/>
      <c r="AR166" s="1233" t="s">
        <v>1444</v>
      </c>
      <c r="AMK166" s="118"/>
    </row>
    <row r="167" spans="1:44 1025:1025" s="546" customFormat="1" ht="58.15" customHeight="1" x14ac:dyDescent="0.2">
      <c r="A167" s="1241"/>
      <c r="B167" s="2105"/>
      <c r="C167" s="1390"/>
      <c r="D167" s="1375"/>
      <c r="E167" s="1902"/>
      <c r="F167" s="1375"/>
      <c r="G167" s="1335"/>
      <c r="H167" s="906"/>
      <c r="I167" s="1120"/>
      <c r="J167" s="1120"/>
      <c r="K167" s="1120"/>
      <c r="L167" s="1120"/>
      <c r="M167" s="1120"/>
      <c r="N167" s="1120"/>
      <c r="O167" s="1120"/>
      <c r="P167" s="1120"/>
      <c r="Q167" s="892"/>
      <c r="R167" s="1120"/>
      <c r="S167" s="650"/>
      <c r="T167" s="2092"/>
      <c r="U167" s="2092"/>
      <c r="V167" s="2092"/>
      <c r="W167" s="513">
        <v>26955.4</v>
      </c>
      <c r="X167" s="1120" t="s">
        <v>4</v>
      </c>
      <c r="Y167" s="2090"/>
      <c r="Z167" s="161"/>
      <c r="AA167" s="161"/>
      <c r="AB167" s="161"/>
      <c r="AC167" s="161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1233"/>
      <c r="AMK167" s="118"/>
    </row>
    <row r="168" spans="1:44 1025:1025" s="546" customFormat="1" ht="49.5" hidden="1" customHeight="1" x14ac:dyDescent="0.2">
      <c r="A168" s="1598">
        <f>A166+1</f>
        <v>45</v>
      </c>
      <c r="B168" s="1374" t="s">
        <v>333</v>
      </c>
      <c r="C168" s="1389" t="s">
        <v>186</v>
      </c>
      <c r="D168" s="1374">
        <v>3.2</v>
      </c>
      <c r="E168" s="1470">
        <v>20800</v>
      </c>
      <c r="F168" s="1374">
        <v>3.2</v>
      </c>
      <c r="G168" s="1558">
        <v>20800</v>
      </c>
      <c r="H168" s="906"/>
      <c r="I168" s="1120"/>
      <c r="J168" s="1120"/>
      <c r="K168" s="1120"/>
      <c r="L168" s="1120"/>
      <c r="M168" s="1120"/>
      <c r="N168" s="906"/>
      <c r="O168" s="906"/>
      <c r="P168" s="906"/>
      <c r="Q168" s="906"/>
      <c r="R168" s="906"/>
      <c r="S168" s="897"/>
      <c r="T168" s="2091" t="s">
        <v>441</v>
      </c>
      <c r="U168" s="2091" t="s">
        <v>535</v>
      </c>
      <c r="V168" s="2091" t="s">
        <v>5</v>
      </c>
      <c r="W168" s="1120"/>
      <c r="X168" s="1120" t="s">
        <v>2</v>
      </c>
      <c r="Y168" s="2089">
        <f>W168*5360*0.7</f>
        <v>0</v>
      </c>
      <c r="Z168" s="161"/>
      <c r="AA168" s="161"/>
      <c r="AB168" s="161"/>
      <c r="AC168" s="161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1233" t="s">
        <v>1232</v>
      </c>
      <c r="AMK168" s="118"/>
    </row>
    <row r="169" spans="1:44 1025:1025" s="546" customFormat="1" ht="48.2" hidden="1" customHeight="1" x14ac:dyDescent="0.2">
      <c r="A169" s="1241"/>
      <c r="B169" s="1375"/>
      <c r="C169" s="1390"/>
      <c r="D169" s="1375"/>
      <c r="E169" s="1471"/>
      <c r="F169" s="1375"/>
      <c r="G169" s="1271"/>
      <c r="H169" s="906"/>
      <c r="I169" s="1120"/>
      <c r="J169" s="1120"/>
      <c r="K169" s="1120"/>
      <c r="L169" s="1120"/>
      <c r="M169" s="1120"/>
      <c r="N169" s="906"/>
      <c r="O169" s="906"/>
      <c r="P169" s="906"/>
      <c r="Q169" s="892"/>
      <c r="R169" s="906"/>
      <c r="S169" s="897"/>
      <c r="T169" s="2092"/>
      <c r="U169" s="2092"/>
      <c r="V169" s="2092"/>
      <c r="W169" s="787"/>
      <c r="X169" s="1120" t="s">
        <v>4</v>
      </c>
      <c r="Y169" s="2090"/>
      <c r="Z169" s="161"/>
      <c r="AA169" s="161"/>
      <c r="AB169" s="161"/>
      <c r="AC169" s="161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1233"/>
      <c r="AMK169" s="118"/>
    </row>
    <row r="170" spans="1:44 1025:1025" s="546" customFormat="1" ht="32.1" hidden="1" customHeight="1" x14ac:dyDescent="0.2">
      <c r="A170" s="1598">
        <f>A168+1</f>
        <v>46</v>
      </c>
      <c r="B170" s="1827" t="s">
        <v>316</v>
      </c>
      <c r="C170" s="1389" t="s">
        <v>167</v>
      </c>
      <c r="D170" s="1374">
        <v>1.863</v>
      </c>
      <c r="E170" s="1470">
        <v>15993</v>
      </c>
      <c r="F170" s="1374">
        <v>1.863</v>
      </c>
      <c r="G170" s="1558">
        <v>15993</v>
      </c>
      <c r="H170" s="906"/>
      <c r="I170" s="1120"/>
      <c r="J170" s="1120"/>
      <c r="K170" s="1120"/>
      <c r="L170" s="1120"/>
      <c r="M170" s="1120"/>
      <c r="N170" s="1120"/>
      <c r="O170" s="1120"/>
      <c r="P170" s="1120"/>
      <c r="Q170" s="906"/>
      <c r="R170" s="1120"/>
      <c r="S170" s="650"/>
      <c r="T170" s="290"/>
      <c r="U170" s="290"/>
      <c r="V170" s="290"/>
      <c r="W170" s="1120"/>
      <c r="X170" s="1120"/>
      <c r="Y170" s="492"/>
      <c r="Z170" s="290"/>
      <c r="AA170" s="290"/>
      <c r="AB170" s="460"/>
      <c r="AC170" s="906"/>
      <c r="AD170" s="1120"/>
      <c r="AE170" s="492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1233" t="s">
        <v>1233</v>
      </c>
      <c r="AMK170" s="118"/>
    </row>
    <row r="171" spans="1:44 1025:1025" s="546" customFormat="1" ht="45.6" hidden="1" customHeight="1" x14ac:dyDescent="0.2">
      <c r="A171" s="1241"/>
      <c r="B171" s="1828"/>
      <c r="C171" s="1390"/>
      <c r="D171" s="1375"/>
      <c r="E171" s="1471"/>
      <c r="F171" s="1375"/>
      <c r="G171" s="1271"/>
      <c r="H171" s="906"/>
      <c r="I171" s="1120"/>
      <c r="J171" s="1120"/>
      <c r="K171" s="1120"/>
      <c r="L171" s="1120"/>
      <c r="M171" s="1120"/>
      <c r="N171" s="1120"/>
      <c r="O171" s="1120"/>
      <c r="P171" s="1120"/>
      <c r="Q171" s="892"/>
      <c r="R171" s="1120"/>
      <c r="S171" s="650"/>
      <c r="T171" s="290"/>
      <c r="U171" s="290"/>
      <c r="V171" s="290"/>
      <c r="W171" s="787"/>
      <c r="X171" s="1120"/>
      <c r="Y171" s="492"/>
      <c r="Z171" s="290"/>
      <c r="AA171" s="290"/>
      <c r="AB171" s="460"/>
      <c r="AC171" s="892"/>
      <c r="AD171" s="1120"/>
      <c r="AE171" s="492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1233"/>
      <c r="AMK171" s="118"/>
    </row>
    <row r="172" spans="1:44 1025:1025" s="546" customFormat="1" ht="32.1" customHeight="1" x14ac:dyDescent="0.2">
      <c r="A172" s="1225">
        <v>45</v>
      </c>
      <c r="B172" s="2299">
        <v>3407137</v>
      </c>
      <c r="C172" s="1845" t="s">
        <v>227</v>
      </c>
      <c r="D172" s="1836">
        <v>3.298</v>
      </c>
      <c r="E172" s="2301">
        <v>32004</v>
      </c>
      <c r="F172" s="1836">
        <f>D172</f>
        <v>3.298</v>
      </c>
      <c r="G172" s="2288">
        <f t="shared" ref="G172" si="0">E172</f>
        <v>32004</v>
      </c>
      <c r="H172" s="906"/>
      <c r="I172" s="1120"/>
      <c r="J172" s="1120"/>
      <c r="K172" s="1120"/>
      <c r="L172" s="1120"/>
      <c r="M172" s="1120"/>
      <c r="N172" s="1120"/>
      <c r="O172" s="1120"/>
      <c r="P172" s="1120"/>
      <c r="Q172" s="906"/>
      <c r="R172" s="1120"/>
      <c r="S172" s="650"/>
      <c r="T172" s="2119" t="s">
        <v>1441</v>
      </c>
      <c r="U172" s="2119" t="s">
        <v>1443</v>
      </c>
      <c r="V172" s="2087" t="s">
        <v>5</v>
      </c>
      <c r="W172" s="1120">
        <v>2.72</v>
      </c>
      <c r="X172" s="1120" t="s">
        <v>2</v>
      </c>
      <c r="Y172" s="2089">
        <f>25336.99026-Y174</f>
        <v>25286.65826</v>
      </c>
      <c r="Z172" s="161"/>
      <c r="AA172" s="161"/>
      <c r="AB172" s="161"/>
      <c r="AC172" s="161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1233" t="s">
        <v>1445</v>
      </c>
      <c r="AMK172" s="118"/>
    </row>
    <row r="173" spans="1:44 1025:1025" s="546" customFormat="1" ht="34.700000000000003" customHeight="1" x14ac:dyDescent="0.2">
      <c r="A173" s="1342"/>
      <c r="B173" s="2300"/>
      <c r="C173" s="1846"/>
      <c r="D173" s="1779"/>
      <c r="E173" s="2302"/>
      <c r="F173" s="1779"/>
      <c r="G173" s="1353"/>
      <c r="H173" s="906"/>
      <c r="I173" s="1120"/>
      <c r="J173" s="1120"/>
      <c r="K173" s="1120"/>
      <c r="L173" s="1120"/>
      <c r="M173" s="1120"/>
      <c r="N173" s="1120"/>
      <c r="O173" s="1120"/>
      <c r="P173" s="1120"/>
      <c r="Q173" s="892"/>
      <c r="R173" s="1120"/>
      <c r="S173" s="650"/>
      <c r="T173" s="2120"/>
      <c r="U173" s="2120"/>
      <c r="V173" s="2087"/>
      <c r="W173" s="513">
        <v>34815.9</v>
      </c>
      <c r="X173" s="1120" t="s">
        <v>4</v>
      </c>
      <c r="Y173" s="2090"/>
      <c r="Z173" s="161"/>
      <c r="AA173" s="161"/>
      <c r="AB173" s="161"/>
      <c r="AC173" s="161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1233"/>
      <c r="AMK173" s="118"/>
    </row>
    <row r="174" spans="1:44 1025:1025" s="546" customFormat="1" ht="34.700000000000003" customHeight="1" x14ac:dyDescent="0.2">
      <c r="A174" s="1241"/>
      <c r="B174" s="2105"/>
      <c r="C174" s="1390"/>
      <c r="D174" s="1375"/>
      <c r="E174" s="1471"/>
      <c r="F174" s="1375"/>
      <c r="G174" s="1353"/>
      <c r="H174" s="906"/>
      <c r="I174" s="1120"/>
      <c r="J174" s="1120"/>
      <c r="K174" s="1120"/>
      <c r="L174" s="1120"/>
      <c r="M174" s="1120"/>
      <c r="N174" s="1120"/>
      <c r="O174" s="1120"/>
      <c r="P174" s="1120"/>
      <c r="Q174" s="892"/>
      <c r="R174" s="1120"/>
      <c r="S174" s="650"/>
      <c r="T174" s="2092"/>
      <c r="U174" s="2092"/>
      <c r="V174" s="314" t="s">
        <v>6</v>
      </c>
      <c r="W174" s="1120">
        <v>0.59450000000000003</v>
      </c>
      <c r="X174" s="1120" t="s">
        <v>2</v>
      </c>
      <c r="Y174" s="1108">
        <v>50.332000000000001</v>
      </c>
      <c r="Z174" s="161"/>
      <c r="AA174" s="161"/>
      <c r="AB174" s="161"/>
      <c r="AC174" s="161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878"/>
      <c r="AMK174" s="118"/>
    </row>
    <row r="175" spans="1:44 1025:1025" s="546" customFormat="1" ht="48.2" customHeight="1" x14ac:dyDescent="0.2">
      <c r="A175" s="1225">
        <f t="shared" ref="A175" si="1">A172+1</f>
        <v>46</v>
      </c>
      <c r="B175" s="2299" t="s">
        <v>1435</v>
      </c>
      <c r="C175" s="1845" t="s">
        <v>1438</v>
      </c>
      <c r="D175" s="1836">
        <v>4.3369999999999997</v>
      </c>
      <c r="E175" s="2301">
        <v>64370</v>
      </c>
      <c r="F175" s="1836">
        <f t="shared" ref="F175" si="2">D175</f>
        <v>4.3369999999999997</v>
      </c>
      <c r="G175" s="1334">
        <f t="shared" ref="G175" si="3">E175</f>
        <v>64370</v>
      </c>
      <c r="H175" s="906"/>
      <c r="I175" s="1120"/>
      <c r="J175" s="1120"/>
      <c r="K175" s="1120"/>
      <c r="L175" s="1120"/>
      <c r="M175" s="1120"/>
      <c r="N175" s="1120"/>
      <c r="O175" s="1120"/>
      <c r="P175" s="1120"/>
      <c r="Q175" s="906"/>
      <c r="R175" s="1120"/>
      <c r="S175" s="650"/>
      <c r="T175" s="2119" t="s">
        <v>1436</v>
      </c>
      <c r="U175" s="2119" t="s">
        <v>1437</v>
      </c>
      <c r="V175" s="2091" t="s">
        <v>5</v>
      </c>
      <c r="W175" s="1120">
        <v>3.83</v>
      </c>
      <c r="X175" s="1120" t="s">
        <v>2</v>
      </c>
      <c r="Y175" s="2089">
        <f>64967.54473-Y177</f>
        <v>61711.495730000002</v>
      </c>
      <c r="Z175" s="161"/>
      <c r="AA175" s="161"/>
      <c r="AB175" s="161"/>
      <c r="AC175" s="161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1233"/>
      <c r="AMK175" s="118"/>
    </row>
    <row r="176" spans="1:44 1025:1025" s="546" customFormat="1" ht="33.4" customHeight="1" x14ac:dyDescent="0.2">
      <c r="A176" s="1342"/>
      <c r="B176" s="2300"/>
      <c r="C176" s="1846"/>
      <c r="D176" s="1779"/>
      <c r="E176" s="2302"/>
      <c r="F176" s="1779"/>
      <c r="G176" s="1334"/>
      <c r="H176" s="906"/>
      <c r="I176" s="1120"/>
      <c r="J176" s="1120"/>
      <c r="K176" s="1120"/>
      <c r="L176" s="1120"/>
      <c r="M176" s="1120"/>
      <c r="N176" s="1120"/>
      <c r="O176" s="1120"/>
      <c r="P176" s="133"/>
      <c r="Q176" s="892"/>
      <c r="R176" s="1120"/>
      <c r="S176" s="650"/>
      <c r="T176" s="2120"/>
      <c r="U176" s="2120"/>
      <c r="V176" s="2092"/>
      <c r="W176" s="513">
        <v>74414.100000000006</v>
      </c>
      <c r="X176" s="1120" t="s">
        <v>4</v>
      </c>
      <c r="Y176" s="2090"/>
      <c r="Z176" s="161"/>
      <c r="AA176" s="161"/>
      <c r="AB176" s="161"/>
      <c r="AC176" s="161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1233"/>
      <c r="AMK176" s="118"/>
    </row>
    <row r="177" spans="1:44 1025:1025" s="546" customFormat="1" ht="33.4" customHeight="1" x14ac:dyDescent="0.2">
      <c r="A177" s="1342"/>
      <c r="B177" s="2300"/>
      <c r="C177" s="1846"/>
      <c r="D177" s="1779"/>
      <c r="E177" s="2302"/>
      <c r="F177" s="1779"/>
      <c r="G177" s="1334"/>
      <c r="H177" s="906"/>
      <c r="I177" s="1120"/>
      <c r="J177" s="1120"/>
      <c r="K177" s="1120"/>
      <c r="L177" s="1120"/>
      <c r="M177" s="1120"/>
      <c r="N177" s="1120"/>
      <c r="O177" s="1120"/>
      <c r="P177" s="133"/>
      <c r="Q177" s="892"/>
      <c r="R177" s="1120"/>
      <c r="S177" s="650"/>
      <c r="T177" s="2092"/>
      <c r="U177" s="2092"/>
      <c r="V177" s="314" t="s">
        <v>6</v>
      </c>
      <c r="W177" s="1120">
        <v>25.199000000000002</v>
      </c>
      <c r="X177" s="1120" t="s">
        <v>2</v>
      </c>
      <c r="Y177" s="1108">
        <v>3256.049</v>
      </c>
      <c r="Z177" s="161"/>
      <c r="AA177" s="161"/>
      <c r="AB177" s="161"/>
      <c r="AC177" s="161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878"/>
      <c r="AMK177" s="118"/>
    </row>
    <row r="178" spans="1:44 1025:1025" s="546" customFormat="1" ht="35.65" customHeight="1" x14ac:dyDescent="0.2">
      <c r="A178" s="1224">
        <f t="shared" ref="A178" si="4">A175+1</f>
        <v>47</v>
      </c>
      <c r="B178" s="1907" t="s">
        <v>1439</v>
      </c>
      <c r="C178" s="1917" t="s">
        <v>1440</v>
      </c>
      <c r="D178" s="1284">
        <v>2.3010000000000002</v>
      </c>
      <c r="E178" s="1714">
        <v>32214</v>
      </c>
      <c r="F178" s="1284">
        <f t="shared" ref="F178" si="5">D178</f>
        <v>2.3010000000000002</v>
      </c>
      <c r="G178" s="1334">
        <f t="shared" ref="G178" si="6">E178</f>
        <v>32214</v>
      </c>
      <c r="H178" s="906"/>
      <c r="I178" s="1120"/>
      <c r="J178" s="1120"/>
      <c r="K178" s="1120"/>
      <c r="L178" s="1120"/>
      <c r="M178" s="1120"/>
      <c r="N178" s="1120"/>
      <c r="O178" s="1120"/>
      <c r="P178" s="1120"/>
      <c r="Q178" s="906"/>
      <c r="R178" s="1120"/>
      <c r="S178" s="650"/>
      <c r="T178" s="2119" t="s">
        <v>1446</v>
      </c>
      <c r="U178" s="2119" t="s">
        <v>1447</v>
      </c>
      <c r="V178" s="2091" t="s">
        <v>5</v>
      </c>
      <c r="W178" s="1120">
        <v>2.2200000000000002</v>
      </c>
      <c r="X178" s="1120" t="s">
        <v>2</v>
      </c>
      <c r="Y178" s="2089">
        <f>46754.57669-Y180-Y181</f>
        <v>45537.304690000004</v>
      </c>
      <c r="Z178" s="161"/>
      <c r="AA178" s="161"/>
      <c r="AB178" s="161"/>
      <c r="AC178" s="161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1233"/>
      <c r="AMK178" s="118"/>
    </row>
    <row r="179" spans="1:44 1025:1025" s="546" customFormat="1" ht="35.65" customHeight="1" x14ac:dyDescent="0.2">
      <c r="A179" s="1224"/>
      <c r="B179" s="1907"/>
      <c r="C179" s="1917"/>
      <c r="D179" s="1284"/>
      <c r="E179" s="1714"/>
      <c r="F179" s="1284"/>
      <c r="G179" s="1334"/>
      <c r="H179" s="906"/>
      <c r="I179" s="1120"/>
      <c r="J179" s="1120"/>
      <c r="K179" s="1120"/>
      <c r="L179" s="1120"/>
      <c r="M179" s="1120"/>
      <c r="N179" s="1120"/>
      <c r="O179" s="1120"/>
      <c r="P179" s="1120"/>
      <c r="Q179" s="892"/>
      <c r="R179" s="1120"/>
      <c r="S179" s="650"/>
      <c r="T179" s="2120"/>
      <c r="U179" s="2120"/>
      <c r="V179" s="2092"/>
      <c r="W179" s="513">
        <v>38766.199999999997</v>
      </c>
      <c r="X179" s="1120" t="s">
        <v>4</v>
      </c>
      <c r="Y179" s="2090"/>
      <c r="Z179" s="161"/>
      <c r="AA179" s="161"/>
      <c r="AB179" s="161"/>
      <c r="AC179" s="161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1233"/>
      <c r="AMK179" s="118"/>
    </row>
    <row r="180" spans="1:44 1025:1025" s="546" customFormat="1" ht="35.65" customHeight="1" x14ac:dyDescent="0.2">
      <c r="A180" s="1224"/>
      <c r="B180" s="1907"/>
      <c r="C180" s="1917"/>
      <c r="D180" s="1284"/>
      <c r="E180" s="1714"/>
      <c r="F180" s="1284"/>
      <c r="G180" s="1334"/>
      <c r="H180" s="906"/>
      <c r="I180" s="1120"/>
      <c r="J180" s="1120"/>
      <c r="K180" s="1120"/>
      <c r="L180" s="1120"/>
      <c r="M180" s="1120"/>
      <c r="N180" s="1060"/>
      <c r="O180" s="1060"/>
      <c r="P180" s="1060"/>
      <c r="Q180" s="892"/>
      <c r="R180" s="1120"/>
      <c r="S180" s="669"/>
      <c r="T180" s="2120"/>
      <c r="U180" s="2120"/>
      <c r="V180" s="314" t="s">
        <v>6</v>
      </c>
      <c r="W180" s="650">
        <v>9.3719999999999999</v>
      </c>
      <c r="X180" s="1120" t="s">
        <v>2</v>
      </c>
      <c r="Y180" s="1066">
        <v>1210.9880000000001</v>
      </c>
      <c r="Z180" s="663"/>
      <c r="AA180" s="663"/>
      <c r="AB180" s="663"/>
      <c r="AC180" s="161"/>
      <c r="AD180" s="237"/>
      <c r="AE180" s="664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936"/>
      <c r="AMK180" s="118"/>
    </row>
    <row r="181" spans="1:44 1025:1025" s="546" customFormat="1" ht="35.65" customHeight="1" x14ac:dyDescent="0.2">
      <c r="A181" s="1224"/>
      <c r="B181" s="1907"/>
      <c r="C181" s="1917"/>
      <c r="D181" s="1284"/>
      <c r="E181" s="1714"/>
      <c r="F181" s="1284"/>
      <c r="G181" s="1334"/>
      <c r="H181" s="906"/>
      <c r="I181" s="1120"/>
      <c r="J181" s="1120"/>
      <c r="K181" s="1120"/>
      <c r="L181" s="1120"/>
      <c r="M181" s="1120"/>
      <c r="N181" s="1060"/>
      <c r="O181" s="1060"/>
      <c r="P181" s="1060"/>
      <c r="Q181" s="892"/>
      <c r="R181" s="1120"/>
      <c r="S181" s="669"/>
      <c r="T181" s="2092"/>
      <c r="U181" s="2092"/>
      <c r="V181" s="1058" t="s">
        <v>1397</v>
      </c>
      <c r="W181" s="787">
        <v>50</v>
      </c>
      <c r="X181" s="1120" t="s">
        <v>852</v>
      </c>
      <c r="Y181" s="1066">
        <v>6.2839999999999998</v>
      </c>
      <c r="Z181" s="663"/>
      <c r="AA181" s="663"/>
      <c r="AB181" s="663"/>
      <c r="AC181" s="161"/>
      <c r="AD181" s="237"/>
      <c r="AE181" s="664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936"/>
      <c r="AMK181" s="118"/>
    </row>
    <row r="182" spans="1:44 1025:1025" s="20" customFormat="1" ht="27" customHeight="1" x14ac:dyDescent="0.2">
      <c r="A182" s="1821">
        <v>48</v>
      </c>
      <c r="B182" s="1827" t="s">
        <v>378</v>
      </c>
      <c r="C182" s="1372" t="s">
        <v>235</v>
      </c>
      <c r="D182" s="1374">
        <v>0.91500000000000004</v>
      </c>
      <c r="E182" s="1470">
        <v>10231.5</v>
      </c>
      <c r="F182" s="1374">
        <v>0.91500000000000004</v>
      </c>
      <c r="G182" s="1470">
        <v>10231.5</v>
      </c>
      <c r="H182" s="906"/>
      <c r="I182" s="1120"/>
      <c r="J182" s="1120"/>
      <c r="K182" s="1120"/>
      <c r="L182" s="1120"/>
      <c r="M182" s="1120"/>
      <c r="N182" s="1332"/>
      <c r="O182" s="1332"/>
      <c r="P182" s="1374"/>
      <c r="Q182" s="906"/>
      <c r="R182" s="1120"/>
      <c r="S182" s="2089"/>
      <c r="T182" s="302"/>
      <c r="U182" s="302"/>
      <c r="V182" s="302"/>
      <c r="W182" s="302"/>
      <c r="X182" s="302"/>
      <c r="Y182" s="302"/>
      <c r="Z182" s="1332" t="s">
        <v>1448</v>
      </c>
      <c r="AA182" s="1332" t="s">
        <v>1102</v>
      </c>
      <c r="AB182" s="1374" t="s">
        <v>5</v>
      </c>
      <c r="AC182" s="906">
        <v>0.91500000000000004</v>
      </c>
      <c r="AD182" s="906" t="s">
        <v>2</v>
      </c>
      <c r="AE182" s="1374">
        <v>32889.013429999999</v>
      </c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61"/>
      <c r="AQ182" s="61"/>
      <c r="AR182" s="1308" t="s">
        <v>1452</v>
      </c>
    </row>
    <row r="183" spans="1:44 1025:1025" s="20" customFormat="1" ht="27" customHeight="1" x14ac:dyDescent="0.2">
      <c r="A183" s="1822"/>
      <c r="B183" s="1828"/>
      <c r="C183" s="1373"/>
      <c r="D183" s="1375"/>
      <c r="E183" s="1471"/>
      <c r="F183" s="1375"/>
      <c r="G183" s="1471"/>
      <c r="H183" s="906"/>
      <c r="I183" s="1120"/>
      <c r="J183" s="1120"/>
      <c r="K183" s="1120"/>
      <c r="L183" s="1120"/>
      <c r="M183" s="1120"/>
      <c r="N183" s="1235"/>
      <c r="O183" s="1235"/>
      <c r="P183" s="1375"/>
      <c r="Q183" s="892"/>
      <c r="R183" s="1120"/>
      <c r="S183" s="2090"/>
      <c r="T183" s="302"/>
      <c r="U183" s="302"/>
      <c r="V183" s="302"/>
      <c r="W183" s="302"/>
      <c r="X183" s="302"/>
      <c r="Y183" s="302"/>
      <c r="Z183" s="1235"/>
      <c r="AA183" s="1235"/>
      <c r="AB183" s="1375"/>
      <c r="AC183" s="892">
        <v>9629</v>
      </c>
      <c r="AD183" s="906" t="s">
        <v>3</v>
      </c>
      <c r="AE183" s="1375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61"/>
      <c r="AQ183" s="61"/>
      <c r="AR183" s="1240"/>
    </row>
    <row r="184" spans="1:44 1025:1025" s="20" customFormat="1" ht="22.5" customHeight="1" x14ac:dyDescent="0.2">
      <c r="A184" s="1821">
        <v>49</v>
      </c>
      <c r="B184" s="1827" t="s">
        <v>750</v>
      </c>
      <c r="C184" s="1372" t="s">
        <v>1423</v>
      </c>
      <c r="D184" s="1374">
        <v>0.872</v>
      </c>
      <c r="E184" s="1470">
        <v>9321</v>
      </c>
      <c r="F184" s="1374">
        <v>0.872</v>
      </c>
      <c r="G184" s="1470">
        <v>9321</v>
      </c>
      <c r="H184" s="906"/>
      <c r="I184" s="1120"/>
      <c r="J184" s="1120"/>
      <c r="K184" s="1120"/>
      <c r="L184" s="1120"/>
      <c r="M184" s="1120"/>
      <c r="N184" s="1332"/>
      <c r="O184" s="1332"/>
      <c r="P184" s="1374"/>
      <c r="Q184" s="906"/>
      <c r="R184" s="1120"/>
      <c r="S184" s="2089"/>
      <c r="T184" s="302"/>
      <c r="U184" s="302"/>
      <c r="V184" s="302"/>
      <c r="W184" s="302"/>
      <c r="X184" s="302"/>
      <c r="Y184" s="302"/>
      <c r="Z184" s="1332" t="s">
        <v>1449</v>
      </c>
      <c r="AA184" s="1332" t="s">
        <v>1450</v>
      </c>
      <c r="AB184" s="1374" t="s">
        <v>5</v>
      </c>
      <c r="AC184" s="878">
        <v>0.86499999999999999</v>
      </c>
      <c r="AD184" s="906" t="s">
        <v>2</v>
      </c>
      <c r="AE184" s="1374">
        <v>34056.10297</v>
      </c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61"/>
      <c r="AQ184" s="61"/>
      <c r="AR184" s="1308" t="s">
        <v>1451</v>
      </c>
    </row>
    <row r="185" spans="1:44 1025:1025" s="20" customFormat="1" ht="22.5" customHeight="1" x14ac:dyDescent="0.2">
      <c r="A185" s="1822"/>
      <c r="B185" s="1828"/>
      <c r="C185" s="1373"/>
      <c r="D185" s="1375"/>
      <c r="E185" s="1471"/>
      <c r="F185" s="1375"/>
      <c r="G185" s="1471"/>
      <c r="H185" s="906"/>
      <c r="I185" s="1120"/>
      <c r="J185" s="1120"/>
      <c r="K185" s="1120"/>
      <c r="L185" s="1120"/>
      <c r="M185" s="1120"/>
      <c r="N185" s="1235"/>
      <c r="O185" s="1235"/>
      <c r="P185" s="1375"/>
      <c r="Q185" s="892"/>
      <c r="R185" s="1120"/>
      <c r="S185" s="2090"/>
      <c r="T185" s="302"/>
      <c r="U185" s="302"/>
      <c r="V185" s="302"/>
      <c r="W185" s="302"/>
      <c r="X185" s="302"/>
      <c r="Y185" s="302"/>
      <c r="Z185" s="1235"/>
      <c r="AA185" s="1235"/>
      <c r="AB185" s="1375"/>
      <c r="AC185" s="878">
        <v>10231.5</v>
      </c>
      <c r="AD185" s="906" t="s">
        <v>3</v>
      </c>
      <c r="AE185" s="1375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61"/>
      <c r="AQ185" s="61"/>
      <c r="AR185" s="1240"/>
    </row>
    <row r="186" spans="1:44 1025:1025" s="20" customFormat="1" ht="22.5" customHeight="1" x14ac:dyDescent="0.2">
      <c r="A186" s="2410">
        <v>50</v>
      </c>
      <c r="B186" s="2293" t="s">
        <v>818</v>
      </c>
      <c r="C186" s="2297" t="s">
        <v>1424</v>
      </c>
      <c r="D186" s="1836">
        <v>0.32600000000000001</v>
      </c>
      <c r="E186" s="2301">
        <v>1980</v>
      </c>
      <c r="F186" s="1836">
        <v>0.32600000000000001</v>
      </c>
      <c r="G186" s="2301">
        <v>1980</v>
      </c>
      <c r="H186" s="906"/>
      <c r="I186" s="1120"/>
      <c r="J186" s="1120"/>
      <c r="K186" s="1120"/>
      <c r="L186" s="1120"/>
      <c r="M186" s="1120"/>
      <c r="N186" s="1332"/>
      <c r="O186" s="1332"/>
      <c r="P186" s="1374"/>
      <c r="Q186" s="906"/>
      <c r="R186" s="1120"/>
      <c r="S186" s="2089"/>
      <c r="T186" s="1354" t="s">
        <v>1453</v>
      </c>
      <c r="U186" s="1354" t="s">
        <v>1454</v>
      </c>
      <c r="V186" s="1374" t="s">
        <v>5</v>
      </c>
      <c r="W186" s="906">
        <v>0.307</v>
      </c>
      <c r="X186" s="906" t="s">
        <v>2</v>
      </c>
      <c r="Y186" s="1380">
        <f>6981.30342-Y188</f>
        <v>6967.4844199999998</v>
      </c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61"/>
      <c r="AQ186" s="61"/>
      <c r="AR186" s="1308" t="s">
        <v>1455</v>
      </c>
    </row>
    <row r="187" spans="1:44 1025:1025" s="20" customFormat="1" ht="22.5" customHeight="1" x14ac:dyDescent="0.2">
      <c r="A187" s="2429"/>
      <c r="B187" s="2294"/>
      <c r="C187" s="2298"/>
      <c r="D187" s="1779"/>
      <c r="E187" s="2302"/>
      <c r="F187" s="1779"/>
      <c r="G187" s="2302"/>
      <c r="H187" s="906"/>
      <c r="I187" s="1120"/>
      <c r="J187" s="1120"/>
      <c r="K187" s="1120"/>
      <c r="L187" s="1120"/>
      <c r="M187" s="1120"/>
      <c r="N187" s="1235"/>
      <c r="O187" s="1235"/>
      <c r="P187" s="1375"/>
      <c r="Q187" s="892"/>
      <c r="R187" s="1120"/>
      <c r="S187" s="2090"/>
      <c r="T187" s="1329"/>
      <c r="U187" s="1329"/>
      <c r="V187" s="1375"/>
      <c r="W187" s="901">
        <v>2198.9</v>
      </c>
      <c r="X187" s="906" t="s">
        <v>3</v>
      </c>
      <c r="Y187" s="1335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61"/>
      <c r="AQ187" s="61"/>
      <c r="AR187" s="1240"/>
    </row>
    <row r="188" spans="1:44 1025:1025" s="20" customFormat="1" ht="22.5" customHeight="1" x14ac:dyDescent="0.2">
      <c r="A188" s="2429"/>
      <c r="B188" s="2294"/>
      <c r="C188" s="2298"/>
      <c r="D188" s="1779"/>
      <c r="E188" s="2302"/>
      <c r="F188" s="1779"/>
      <c r="G188" s="2302"/>
      <c r="H188" s="906"/>
      <c r="I188" s="1120"/>
      <c r="J188" s="1120"/>
      <c r="K188" s="1120"/>
      <c r="L188" s="1120"/>
      <c r="M188" s="1120"/>
      <c r="N188" s="894"/>
      <c r="O188" s="894"/>
      <c r="P188" s="996"/>
      <c r="Q188" s="892"/>
      <c r="R188" s="1120"/>
      <c r="S188" s="1066"/>
      <c r="T188" s="1329"/>
      <c r="U188" s="1329"/>
      <c r="V188" s="996" t="s">
        <v>6</v>
      </c>
      <c r="W188" s="897">
        <v>0.16</v>
      </c>
      <c r="X188" s="906" t="s">
        <v>2</v>
      </c>
      <c r="Y188" s="898">
        <v>13.819000000000001</v>
      </c>
      <c r="Z188" s="659"/>
      <c r="AA188" s="659"/>
      <c r="AB188" s="659"/>
      <c r="AC188" s="123"/>
      <c r="AD188" s="123"/>
      <c r="AE188" s="659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61"/>
      <c r="AQ188" s="61"/>
      <c r="AR188" s="764"/>
    </row>
    <row r="189" spans="1:44 1025:1025" s="546" customFormat="1" ht="32.1" hidden="1" customHeight="1" x14ac:dyDescent="0.2">
      <c r="A189" s="1598" t="e">
        <f>#REF!+1</f>
        <v>#REF!</v>
      </c>
      <c r="B189" s="1374" t="s">
        <v>319</v>
      </c>
      <c r="C189" s="1389" t="s">
        <v>170</v>
      </c>
      <c r="D189" s="1374">
        <v>0.188</v>
      </c>
      <c r="E189" s="1470">
        <v>1365</v>
      </c>
      <c r="F189" s="1374">
        <v>0.188</v>
      </c>
      <c r="G189" s="1558">
        <v>1365</v>
      </c>
      <c r="H189" s="906"/>
      <c r="I189" s="1120"/>
      <c r="J189" s="1120"/>
      <c r="K189" s="1120"/>
      <c r="L189" s="1120"/>
      <c r="M189" s="1120"/>
      <c r="N189" s="1120"/>
      <c r="O189" s="1120"/>
      <c r="P189" s="1120"/>
      <c r="Q189" s="906"/>
      <c r="R189" s="1120"/>
      <c r="S189" s="650"/>
      <c r="T189" s="2091" t="s">
        <v>441</v>
      </c>
      <c r="U189" s="2091" t="s">
        <v>1236</v>
      </c>
      <c r="V189" s="1374" t="s">
        <v>5</v>
      </c>
      <c r="W189" s="906"/>
      <c r="X189" s="1120" t="s">
        <v>2</v>
      </c>
      <c r="Y189" s="2089"/>
      <c r="Z189" s="161"/>
      <c r="AA189" s="161"/>
      <c r="AB189" s="161"/>
      <c r="AC189" s="161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1233" t="s">
        <v>1235</v>
      </c>
      <c r="AMK189" s="118"/>
    </row>
    <row r="190" spans="1:44 1025:1025" s="546" customFormat="1" ht="31.15" hidden="1" customHeight="1" x14ac:dyDescent="0.2">
      <c r="A190" s="1241"/>
      <c r="B190" s="1375"/>
      <c r="C190" s="1390"/>
      <c r="D190" s="1375"/>
      <c r="E190" s="1471"/>
      <c r="F190" s="1375"/>
      <c r="G190" s="1271"/>
      <c r="H190" s="906"/>
      <c r="I190" s="1120"/>
      <c r="J190" s="1120"/>
      <c r="K190" s="1120"/>
      <c r="L190" s="1120"/>
      <c r="M190" s="1120"/>
      <c r="N190" s="1120"/>
      <c r="O190" s="1120"/>
      <c r="P190" s="1120"/>
      <c r="Q190" s="892"/>
      <c r="R190" s="1120"/>
      <c r="S190" s="650"/>
      <c r="T190" s="2092"/>
      <c r="U190" s="2092"/>
      <c r="V190" s="1375"/>
      <c r="W190" s="892"/>
      <c r="X190" s="1120" t="s">
        <v>4</v>
      </c>
      <c r="Y190" s="2090"/>
      <c r="Z190" s="161"/>
      <c r="AA190" s="161"/>
      <c r="AB190" s="161"/>
      <c r="AC190" s="161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1233"/>
      <c r="AMK190" s="118"/>
    </row>
    <row r="191" spans="1:44 1025:1025" s="546" customFormat="1" ht="46.9" hidden="1" customHeight="1" x14ac:dyDescent="0.2">
      <c r="A191" s="1598" t="e">
        <f t="shared" ref="A191:A249" si="7">A189+1</f>
        <v>#REF!</v>
      </c>
      <c r="B191" s="1374" t="s">
        <v>321</v>
      </c>
      <c r="C191" s="1389" t="s">
        <v>172</v>
      </c>
      <c r="D191" s="1374">
        <v>1.3049999999999999</v>
      </c>
      <c r="E191" s="1470">
        <v>6185</v>
      </c>
      <c r="F191" s="1374">
        <v>1.3049999999999999</v>
      </c>
      <c r="G191" s="1558">
        <v>6185</v>
      </c>
      <c r="H191" s="906"/>
      <c r="I191" s="1120"/>
      <c r="J191" s="1120"/>
      <c r="K191" s="1120"/>
      <c r="L191" s="1120"/>
      <c r="M191" s="1120"/>
      <c r="N191" s="1120"/>
      <c r="O191" s="1120"/>
      <c r="P191" s="1120"/>
      <c r="Q191" s="906"/>
      <c r="R191" s="1120"/>
      <c r="S191" s="650"/>
      <c r="T191" s="2091" t="s">
        <v>441</v>
      </c>
      <c r="U191" s="2091" t="s">
        <v>594</v>
      </c>
      <c r="V191" s="1374" t="s">
        <v>5</v>
      </c>
      <c r="W191" s="906"/>
      <c r="X191" s="1120" t="s">
        <v>2</v>
      </c>
      <c r="Y191" s="2089">
        <f>W191*5360*0.6</f>
        <v>0</v>
      </c>
      <c r="Z191" s="161"/>
      <c r="AA191" s="161"/>
      <c r="AB191" s="161"/>
      <c r="AC191" s="161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1233" t="s">
        <v>1352</v>
      </c>
      <c r="AMK191" s="118"/>
    </row>
    <row r="192" spans="1:44 1025:1025" s="546" customFormat="1" ht="38.65" hidden="1" customHeight="1" x14ac:dyDescent="0.2">
      <c r="A192" s="1241"/>
      <c r="B192" s="1375"/>
      <c r="C192" s="1390"/>
      <c r="D192" s="1375"/>
      <c r="E192" s="1471"/>
      <c r="F192" s="1375"/>
      <c r="G192" s="1271"/>
      <c r="H192" s="906"/>
      <c r="I192" s="1120"/>
      <c r="J192" s="1120"/>
      <c r="K192" s="1120"/>
      <c r="L192" s="1120"/>
      <c r="M192" s="1120"/>
      <c r="N192" s="133"/>
      <c r="O192" s="133"/>
      <c r="P192" s="1120"/>
      <c r="Q192" s="892"/>
      <c r="R192" s="1120"/>
      <c r="S192" s="650"/>
      <c r="T192" s="2092"/>
      <c r="U192" s="2092"/>
      <c r="V192" s="1375"/>
      <c r="W192" s="892"/>
      <c r="X192" s="1120" t="s">
        <v>4</v>
      </c>
      <c r="Y192" s="2090"/>
      <c r="Z192" s="161"/>
      <c r="AA192" s="161"/>
      <c r="AB192" s="161"/>
      <c r="AC192" s="161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1233"/>
      <c r="AMK192" s="118"/>
    </row>
    <row r="193" spans="1:44 1025:1025" s="546" customFormat="1" ht="24.4" hidden="1" customHeight="1" x14ac:dyDescent="0.2">
      <c r="A193" s="1598" t="e">
        <f t="shared" si="7"/>
        <v>#REF!</v>
      </c>
      <c r="B193" s="1374" t="s">
        <v>322</v>
      </c>
      <c r="C193" s="1389" t="s">
        <v>173</v>
      </c>
      <c r="D193" s="1374">
        <v>0.32200000000000001</v>
      </c>
      <c r="E193" s="1470">
        <v>1157</v>
      </c>
      <c r="F193" s="1374">
        <v>0.32200000000000001</v>
      </c>
      <c r="G193" s="1558">
        <v>1157</v>
      </c>
      <c r="H193" s="906"/>
      <c r="I193" s="1120"/>
      <c r="J193" s="1120"/>
      <c r="K193" s="1120"/>
      <c r="L193" s="1120"/>
      <c r="M193" s="1120"/>
      <c r="N193" s="1120"/>
      <c r="O193" s="1120"/>
      <c r="P193" s="1120"/>
      <c r="Q193" s="906"/>
      <c r="R193" s="1120"/>
      <c r="S193" s="650"/>
      <c r="T193" s="2091" t="s">
        <v>441</v>
      </c>
      <c r="U193" s="2091" t="s">
        <v>1238</v>
      </c>
      <c r="V193" s="1374" t="s">
        <v>5</v>
      </c>
      <c r="W193" s="906"/>
      <c r="X193" s="1120" t="s">
        <v>2</v>
      </c>
      <c r="Y193" s="2089">
        <f>W193*5360*0.6</f>
        <v>0</v>
      </c>
      <c r="Z193" s="161"/>
      <c r="AA193" s="161"/>
      <c r="AB193" s="161"/>
      <c r="AC193" s="161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1285" t="s">
        <v>1237</v>
      </c>
      <c r="AMK193" s="118"/>
    </row>
    <row r="194" spans="1:44 1025:1025" s="546" customFormat="1" ht="33.4" hidden="1" customHeight="1" x14ac:dyDescent="0.2">
      <c r="A194" s="1241"/>
      <c r="B194" s="1375"/>
      <c r="C194" s="1390"/>
      <c r="D194" s="1375"/>
      <c r="E194" s="1471"/>
      <c r="F194" s="1375"/>
      <c r="G194" s="1271"/>
      <c r="H194" s="906"/>
      <c r="I194" s="1120"/>
      <c r="J194" s="1120"/>
      <c r="K194" s="1120"/>
      <c r="L194" s="1120"/>
      <c r="M194" s="1120"/>
      <c r="N194" s="1120"/>
      <c r="O194" s="1120"/>
      <c r="P194" s="133"/>
      <c r="Q194" s="892"/>
      <c r="R194" s="1120"/>
      <c r="S194" s="650"/>
      <c r="T194" s="2092"/>
      <c r="U194" s="2092"/>
      <c r="V194" s="1375"/>
      <c r="W194" s="892"/>
      <c r="X194" s="1120" t="s">
        <v>4</v>
      </c>
      <c r="Y194" s="2090"/>
      <c r="Z194" s="161"/>
      <c r="AA194" s="161"/>
      <c r="AB194" s="161"/>
      <c r="AC194" s="161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1213"/>
      <c r="AMK194" s="118"/>
    </row>
    <row r="195" spans="1:44 1025:1025" s="546" customFormat="1" ht="40.5" hidden="1" customHeight="1" x14ac:dyDescent="0.2">
      <c r="A195" s="1598" t="e">
        <f t="shared" si="7"/>
        <v>#REF!</v>
      </c>
      <c r="B195" s="1370">
        <v>3405555</v>
      </c>
      <c r="C195" s="1389" t="s">
        <v>174</v>
      </c>
      <c r="D195" s="1374">
        <v>2.95</v>
      </c>
      <c r="E195" s="1470">
        <v>17627</v>
      </c>
      <c r="F195" s="1374">
        <v>2.95</v>
      </c>
      <c r="G195" s="1558">
        <v>17627</v>
      </c>
      <c r="H195" s="906"/>
      <c r="I195" s="1120"/>
      <c r="J195" s="1120"/>
      <c r="K195" s="1120"/>
      <c r="L195" s="1120"/>
      <c r="M195" s="1120"/>
      <c r="N195" s="1120"/>
      <c r="O195" s="1120"/>
      <c r="P195" s="1120"/>
      <c r="Q195" s="906"/>
      <c r="R195" s="1120"/>
      <c r="S195" s="650"/>
      <c r="T195" s="2091" t="s">
        <v>441</v>
      </c>
      <c r="U195" s="2091" t="s">
        <v>1240</v>
      </c>
      <c r="V195" s="1374" t="s">
        <v>5</v>
      </c>
      <c r="W195" s="906"/>
      <c r="X195" s="1120" t="s">
        <v>2</v>
      </c>
      <c r="Y195" s="2089">
        <f>W195*5360*0.6</f>
        <v>0</v>
      </c>
      <c r="Z195" s="161"/>
      <c r="AA195" s="161"/>
      <c r="AB195" s="161"/>
      <c r="AC195" s="161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1233" t="s">
        <v>1239</v>
      </c>
      <c r="AMK195" s="118"/>
    </row>
    <row r="196" spans="1:44 1025:1025" s="546" customFormat="1" ht="43.7" hidden="1" customHeight="1" x14ac:dyDescent="0.2">
      <c r="A196" s="1241"/>
      <c r="B196" s="1371"/>
      <c r="C196" s="1390"/>
      <c r="D196" s="1375"/>
      <c r="E196" s="1471"/>
      <c r="F196" s="1375"/>
      <c r="G196" s="1271"/>
      <c r="H196" s="906"/>
      <c r="I196" s="1120"/>
      <c r="J196" s="1120"/>
      <c r="K196" s="1120"/>
      <c r="L196" s="1120"/>
      <c r="M196" s="1120"/>
      <c r="N196" s="1120"/>
      <c r="O196" s="1120"/>
      <c r="P196" s="1120"/>
      <c r="Q196" s="892"/>
      <c r="R196" s="1120"/>
      <c r="S196" s="650"/>
      <c r="T196" s="2092"/>
      <c r="U196" s="2092"/>
      <c r="V196" s="1375"/>
      <c r="W196" s="892"/>
      <c r="X196" s="1120" t="s">
        <v>4</v>
      </c>
      <c r="Y196" s="2090"/>
      <c r="Z196" s="161"/>
      <c r="AA196" s="161"/>
      <c r="AB196" s="161"/>
      <c r="AC196" s="161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1233"/>
      <c r="AMK196" s="118"/>
    </row>
    <row r="197" spans="1:44 1025:1025" s="546" customFormat="1" ht="46.9" hidden="1" customHeight="1" x14ac:dyDescent="0.2">
      <c r="A197" s="1598" t="e">
        <f t="shared" si="7"/>
        <v>#REF!</v>
      </c>
      <c r="B197" s="1374" t="s">
        <v>323</v>
      </c>
      <c r="C197" s="1389" t="s">
        <v>175</v>
      </c>
      <c r="D197" s="1374">
        <v>0.26100000000000001</v>
      </c>
      <c r="E197" s="1470">
        <v>400</v>
      </c>
      <c r="F197" s="1374">
        <v>0.26100000000000001</v>
      </c>
      <c r="G197" s="1558">
        <v>400</v>
      </c>
      <c r="H197" s="906"/>
      <c r="I197" s="1120"/>
      <c r="J197" s="1120"/>
      <c r="K197" s="1120"/>
      <c r="L197" s="1120"/>
      <c r="M197" s="1120"/>
      <c r="N197" s="1120"/>
      <c r="O197" s="1120"/>
      <c r="P197" s="1120"/>
      <c r="Q197" s="906"/>
      <c r="R197" s="1120"/>
      <c r="S197" s="650"/>
      <c r="T197" s="2091" t="s">
        <v>441</v>
      </c>
      <c r="U197" s="2091" t="s">
        <v>1242</v>
      </c>
      <c r="V197" s="1374" t="s">
        <v>5</v>
      </c>
      <c r="W197" s="906"/>
      <c r="X197" s="1120" t="s">
        <v>2</v>
      </c>
      <c r="Y197" s="2089">
        <f>W197*5360*0.6</f>
        <v>0</v>
      </c>
      <c r="Z197" s="161"/>
      <c r="AA197" s="161"/>
      <c r="AB197" s="161"/>
      <c r="AC197" s="161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1233" t="s">
        <v>1241</v>
      </c>
      <c r="AMK197" s="118"/>
    </row>
    <row r="198" spans="1:44 1025:1025" s="546" customFormat="1" ht="48.2" hidden="1" customHeight="1" x14ac:dyDescent="0.2">
      <c r="A198" s="1241"/>
      <c r="B198" s="1375"/>
      <c r="C198" s="1390"/>
      <c r="D198" s="1375"/>
      <c r="E198" s="1471"/>
      <c r="F198" s="1375"/>
      <c r="G198" s="1271"/>
      <c r="H198" s="906"/>
      <c r="I198" s="1120"/>
      <c r="J198" s="1120"/>
      <c r="K198" s="1120"/>
      <c r="L198" s="1120"/>
      <c r="M198" s="1120"/>
      <c r="N198" s="1120"/>
      <c r="O198" s="1120"/>
      <c r="P198" s="133"/>
      <c r="Q198" s="892"/>
      <c r="R198" s="1120"/>
      <c r="S198" s="650"/>
      <c r="T198" s="2092"/>
      <c r="U198" s="2092"/>
      <c r="V198" s="1375"/>
      <c r="W198" s="892"/>
      <c r="X198" s="1120" t="s">
        <v>4</v>
      </c>
      <c r="Y198" s="2090"/>
      <c r="Z198" s="161"/>
      <c r="AA198" s="161"/>
      <c r="AB198" s="161"/>
      <c r="AC198" s="161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1233"/>
      <c r="AMK198" s="118"/>
    </row>
    <row r="199" spans="1:44 1025:1025" s="546" customFormat="1" ht="32.1" hidden="1" customHeight="1" x14ac:dyDescent="0.2">
      <c r="A199" s="1598" t="e">
        <f t="shared" si="7"/>
        <v>#REF!</v>
      </c>
      <c r="B199" s="1374" t="s">
        <v>324</v>
      </c>
      <c r="C199" s="1389" t="s">
        <v>176</v>
      </c>
      <c r="D199" s="1374">
        <v>0.502</v>
      </c>
      <c r="E199" s="1470">
        <v>2159</v>
      </c>
      <c r="F199" s="1374">
        <v>0.502</v>
      </c>
      <c r="G199" s="1558">
        <v>2159</v>
      </c>
      <c r="H199" s="906"/>
      <c r="I199" s="1120"/>
      <c r="J199" s="1120"/>
      <c r="K199" s="1120"/>
      <c r="L199" s="1120"/>
      <c r="M199" s="1120"/>
      <c r="N199" s="1120"/>
      <c r="O199" s="1120"/>
      <c r="P199" s="1120"/>
      <c r="Q199" s="906"/>
      <c r="R199" s="1120"/>
      <c r="S199" s="650"/>
      <c r="T199" s="2091" t="s">
        <v>441</v>
      </c>
      <c r="U199" s="2091" t="s">
        <v>1244</v>
      </c>
      <c r="V199" s="1374" t="s">
        <v>5</v>
      </c>
      <c r="W199" s="906"/>
      <c r="X199" s="1120" t="s">
        <v>2</v>
      </c>
      <c r="Y199" s="2089">
        <f>W199*5360*0.6</f>
        <v>0</v>
      </c>
      <c r="Z199" s="161"/>
      <c r="AA199" s="161"/>
      <c r="AB199" s="161"/>
      <c r="AC199" s="161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1233" t="s">
        <v>1243</v>
      </c>
      <c r="AMK199" s="118"/>
    </row>
    <row r="200" spans="1:44 1025:1025" s="546" customFormat="1" ht="38.65" hidden="1" customHeight="1" x14ac:dyDescent="0.2">
      <c r="A200" s="1241"/>
      <c r="B200" s="1375"/>
      <c r="C200" s="1390"/>
      <c r="D200" s="1375"/>
      <c r="E200" s="1471"/>
      <c r="F200" s="1375"/>
      <c r="G200" s="1271"/>
      <c r="H200" s="906"/>
      <c r="I200" s="1120"/>
      <c r="J200" s="1120"/>
      <c r="K200" s="1120"/>
      <c r="L200" s="1120"/>
      <c r="M200" s="1120"/>
      <c r="N200" s="1120"/>
      <c r="O200" s="1120"/>
      <c r="P200" s="1120"/>
      <c r="Q200" s="892"/>
      <c r="R200" s="1120"/>
      <c r="S200" s="650"/>
      <c r="T200" s="2092"/>
      <c r="U200" s="2092"/>
      <c r="V200" s="1375"/>
      <c r="W200" s="892"/>
      <c r="X200" s="1120" t="s">
        <v>4</v>
      </c>
      <c r="Y200" s="2090"/>
      <c r="Z200" s="161"/>
      <c r="AA200" s="161"/>
      <c r="AB200" s="161"/>
      <c r="AC200" s="161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37"/>
      <c r="AN200" s="237"/>
      <c r="AO200" s="237"/>
      <c r="AP200" s="237"/>
      <c r="AQ200" s="237"/>
      <c r="AR200" s="1233"/>
      <c r="AMK200" s="118"/>
    </row>
    <row r="201" spans="1:44 1025:1025" s="546" customFormat="1" ht="37.35" hidden="1" customHeight="1" x14ac:dyDescent="0.2">
      <c r="A201" s="1598" t="e">
        <f t="shared" si="7"/>
        <v>#REF!</v>
      </c>
      <c r="B201" s="1374" t="s">
        <v>325</v>
      </c>
      <c r="C201" s="1389" t="s">
        <v>177</v>
      </c>
      <c r="D201" s="1374">
        <v>0.318</v>
      </c>
      <c r="E201" s="1470">
        <v>1066</v>
      </c>
      <c r="F201" s="1374">
        <v>0.318</v>
      </c>
      <c r="G201" s="1558">
        <v>1066</v>
      </c>
      <c r="H201" s="906"/>
      <c r="I201" s="1120"/>
      <c r="J201" s="1120"/>
      <c r="K201" s="1120"/>
      <c r="L201" s="1120"/>
      <c r="M201" s="1120"/>
      <c r="N201" s="1120"/>
      <c r="O201" s="1120"/>
      <c r="P201" s="1120"/>
      <c r="Q201" s="906"/>
      <c r="R201" s="1120"/>
      <c r="S201" s="650"/>
      <c r="T201" s="2091" t="s">
        <v>441</v>
      </c>
      <c r="U201" s="2091" t="s">
        <v>1246</v>
      </c>
      <c r="V201" s="1374" t="s">
        <v>5</v>
      </c>
      <c r="W201" s="906"/>
      <c r="X201" s="1120" t="s">
        <v>2</v>
      </c>
      <c r="Y201" s="2089">
        <f>W201*5360*0.6</f>
        <v>0</v>
      </c>
      <c r="Z201" s="161"/>
      <c r="AA201" s="161"/>
      <c r="AB201" s="161"/>
      <c r="AC201" s="161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37"/>
      <c r="AN201" s="237"/>
      <c r="AO201" s="237"/>
      <c r="AP201" s="237"/>
      <c r="AQ201" s="237"/>
      <c r="AR201" s="1233" t="s">
        <v>1245</v>
      </c>
      <c r="AMK201" s="118"/>
    </row>
    <row r="202" spans="1:44 1025:1025" s="546" customFormat="1" ht="43.7" hidden="1" customHeight="1" x14ac:dyDescent="0.2">
      <c r="A202" s="1241"/>
      <c r="B202" s="1375"/>
      <c r="C202" s="1390"/>
      <c r="D202" s="1375"/>
      <c r="E202" s="1471"/>
      <c r="F202" s="1375"/>
      <c r="G202" s="1271"/>
      <c r="H202" s="906"/>
      <c r="I202" s="1120"/>
      <c r="J202" s="1120"/>
      <c r="K202" s="1120"/>
      <c r="L202" s="1120"/>
      <c r="M202" s="1120"/>
      <c r="N202" s="1120"/>
      <c r="O202" s="1120"/>
      <c r="P202" s="1120"/>
      <c r="Q202" s="892"/>
      <c r="R202" s="1120"/>
      <c r="S202" s="650"/>
      <c r="T202" s="2092"/>
      <c r="U202" s="2092"/>
      <c r="V202" s="1375"/>
      <c r="W202" s="892"/>
      <c r="X202" s="1120" t="s">
        <v>4</v>
      </c>
      <c r="Y202" s="2090"/>
      <c r="Z202" s="161"/>
      <c r="AA202" s="161"/>
      <c r="AB202" s="161"/>
      <c r="AC202" s="161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37"/>
      <c r="AN202" s="237"/>
      <c r="AO202" s="237"/>
      <c r="AP202" s="237"/>
      <c r="AQ202" s="237"/>
      <c r="AR202" s="1233"/>
      <c r="AMK202" s="118"/>
    </row>
    <row r="203" spans="1:44 1025:1025" s="546" customFormat="1" ht="38.65" hidden="1" customHeight="1" x14ac:dyDescent="0.2">
      <c r="A203" s="1598" t="e">
        <f t="shared" si="7"/>
        <v>#REF!</v>
      </c>
      <c r="B203" s="1827" t="s">
        <v>326</v>
      </c>
      <c r="C203" s="1389" t="s">
        <v>178</v>
      </c>
      <c r="D203" s="1374">
        <v>0.376</v>
      </c>
      <c r="E203" s="1470">
        <v>2331</v>
      </c>
      <c r="F203" s="1374">
        <v>0.376</v>
      </c>
      <c r="G203" s="1558">
        <v>2331</v>
      </c>
      <c r="H203" s="906"/>
      <c r="I203" s="1120"/>
      <c r="J203" s="1120"/>
      <c r="K203" s="1120"/>
      <c r="L203" s="1120"/>
      <c r="M203" s="1120"/>
      <c r="N203" s="1120"/>
      <c r="O203" s="1120"/>
      <c r="P203" s="1120"/>
      <c r="Q203" s="906"/>
      <c r="R203" s="1120"/>
      <c r="S203" s="650"/>
      <c r="T203" s="2091" t="s">
        <v>441</v>
      </c>
      <c r="U203" s="2091" t="s">
        <v>1248</v>
      </c>
      <c r="V203" s="1374" t="s">
        <v>5</v>
      </c>
      <c r="W203" s="906"/>
      <c r="X203" s="1120" t="s">
        <v>2</v>
      </c>
      <c r="Y203" s="2089">
        <f>W203*5360*0.6</f>
        <v>0</v>
      </c>
      <c r="Z203" s="161"/>
      <c r="AA203" s="161"/>
      <c r="AB203" s="161"/>
      <c r="AC203" s="161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37"/>
      <c r="AN203" s="237"/>
      <c r="AO203" s="237"/>
      <c r="AP203" s="237"/>
      <c r="AQ203" s="237"/>
      <c r="AR203" s="1233" t="s">
        <v>1247</v>
      </c>
      <c r="AMK203" s="118"/>
    </row>
    <row r="204" spans="1:44 1025:1025" s="546" customFormat="1" ht="34.15" hidden="1" customHeight="1" x14ac:dyDescent="0.2">
      <c r="A204" s="1241"/>
      <c r="B204" s="1828"/>
      <c r="C204" s="1390"/>
      <c r="D204" s="1375"/>
      <c r="E204" s="1471"/>
      <c r="F204" s="1375"/>
      <c r="G204" s="1271"/>
      <c r="H204" s="906"/>
      <c r="I204" s="1120"/>
      <c r="J204" s="1120"/>
      <c r="K204" s="1120"/>
      <c r="L204" s="1120"/>
      <c r="M204" s="1120"/>
      <c r="N204" s="1120"/>
      <c r="O204" s="1120"/>
      <c r="P204" s="133"/>
      <c r="Q204" s="892"/>
      <c r="R204" s="1120"/>
      <c r="S204" s="650"/>
      <c r="T204" s="2092"/>
      <c r="U204" s="2092"/>
      <c r="V204" s="1375"/>
      <c r="W204" s="892"/>
      <c r="X204" s="1120" t="s">
        <v>4</v>
      </c>
      <c r="Y204" s="2090"/>
      <c r="Z204" s="161"/>
      <c r="AA204" s="161"/>
      <c r="AB204" s="161"/>
      <c r="AC204" s="161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1233"/>
      <c r="AMK204" s="118"/>
    </row>
    <row r="205" spans="1:44 1025:1025" s="546" customFormat="1" ht="35.65" hidden="1" customHeight="1" x14ac:dyDescent="0.2">
      <c r="A205" s="1598" t="e">
        <f t="shared" si="7"/>
        <v>#REF!</v>
      </c>
      <c r="B205" s="1827" t="s">
        <v>327</v>
      </c>
      <c r="C205" s="1389" t="s">
        <v>179</v>
      </c>
      <c r="D205" s="1374">
        <v>0.86299999999999999</v>
      </c>
      <c r="E205" s="1470">
        <v>6840</v>
      </c>
      <c r="F205" s="1374">
        <v>0.86299999999999999</v>
      </c>
      <c r="G205" s="1558">
        <v>6840</v>
      </c>
      <c r="H205" s="906"/>
      <c r="I205" s="1120"/>
      <c r="J205" s="1120"/>
      <c r="K205" s="1120"/>
      <c r="L205" s="1120"/>
      <c r="M205" s="1120"/>
      <c r="N205" s="1120"/>
      <c r="O205" s="1120"/>
      <c r="P205" s="1120"/>
      <c r="Q205" s="906"/>
      <c r="R205" s="1120"/>
      <c r="S205" s="650"/>
      <c r="T205" s="2091" t="s">
        <v>441</v>
      </c>
      <c r="U205" s="2091" t="s">
        <v>1250</v>
      </c>
      <c r="V205" s="1374" t="s">
        <v>5</v>
      </c>
      <c r="W205" s="906"/>
      <c r="X205" s="1120" t="s">
        <v>2</v>
      </c>
      <c r="Y205" s="2089">
        <f>W205*5360*0.6</f>
        <v>0</v>
      </c>
      <c r="Z205" s="161"/>
      <c r="AA205" s="161"/>
      <c r="AB205" s="161"/>
      <c r="AC205" s="161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  <c r="AQ205" s="237"/>
      <c r="AR205" s="1233" t="s">
        <v>1249</v>
      </c>
      <c r="AMK205" s="118"/>
    </row>
    <row r="206" spans="1:44 1025:1025" s="546" customFormat="1" ht="35.65" hidden="1" customHeight="1" x14ac:dyDescent="0.2">
      <c r="A206" s="1241"/>
      <c r="B206" s="1828"/>
      <c r="C206" s="1390"/>
      <c r="D206" s="1375"/>
      <c r="E206" s="1471"/>
      <c r="F206" s="1375"/>
      <c r="G206" s="1271"/>
      <c r="H206" s="906"/>
      <c r="I206" s="1120"/>
      <c r="J206" s="1120"/>
      <c r="K206" s="1120"/>
      <c r="L206" s="1120"/>
      <c r="M206" s="1120"/>
      <c r="N206" s="1120"/>
      <c r="O206" s="1120"/>
      <c r="P206" s="1120"/>
      <c r="Q206" s="892"/>
      <c r="R206" s="1120"/>
      <c r="S206" s="650"/>
      <c r="T206" s="2092"/>
      <c r="U206" s="2092"/>
      <c r="V206" s="1375"/>
      <c r="W206" s="892"/>
      <c r="X206" s="1120" t="s">
        <v>4</v>
      </c>
      <c r="Y206" s="2090"/>
      <c r="Z206" s="161"/>
      <c r="AA206" s="161"/>
      <c r="AB206" s="161"/>
      <c r="AC206" s="161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37"/>
      <c r="AN206" s="237"/>
      <c r="AO206" s="237"/>
      <c r="AP206" s="237"/>
      <c r="AQ206" s="237"/>
      <c r="AR206" s="1233"/>
      <c r="AMK206" s="118"/>
    </row>
    <row r="207" spans="1:44 1025:1025" s="546" customFormat="1" ht="32.1" hidden="1" customHeight="1" x14ac:dyDescent="0.2">
      <c r="A207" s="1598" t="e">
        <f t="shared" si="7"/>
        <v>#REF!</v>
      </c>
      <c r="B207" s="1827" t="s">
        <v>328</v>
      </c>
      <c r="C207" s="1389" t="s">
        <v>180</v>
      </c>
      <c r="D207" s="1374">
        <v>0.53500000000000003</v>
      </c>
      <c r="E207" s="1470">
        <v>3240</v>
      </c>
      <c r="F207" s="1374">
        <v>0.53500000000000003</v>
      </c>
      <c r="G207" s="1558">
        <v>3240</v>
      </c>
      <c r="H207" s="906"/>
      <c r="I207" s="1120"/>
      <c r="J207" s="1120"/>
      <c r="K207" s="1120"/>
      <c r="L207" s="1120"/>
      <c r="M207" s="1120"/>
      <c r="N207" s="1120"/>
      <c r="O207" s="1120"/>
      <c r="P207" s="1120"/>
      <c r="Q207" s="906"/>
      <c r="R207" s="1120"/>
      <c r="S207" s="650"/>
      <c r="T207" s="2091" t="s">
        <v>441</v>
      </c>
      <c r="U207" s="2091" t="s">
        <v>1252</v>
      </c>
      <c r="V207" s="1374" t="s">
        <v>5</v>
      </c>
      <c r="W207" s="906"/>
      <c r="X207" s="1120" t="s">
        <v>2</v>
      </c>
      <c r="Y207" s="2089">
        <f>W207*5360*0.6</f>
        <v>0</v>
      </c>
      <c r="Z207" s="161"/>
      <c r="AA207" s="161"/>
      <c r="AB207" s="161"/>
      <c r="AC207" s="161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37"/>
      <c r="AN207" s="237"/>
      <c r="AO207" s="237"/>
      <c r="AP207" s="237"/>
      <c r="AQ207" s="237"/>
      <c r="AR207" s="1233" t="s">
        <v>1251</v>
      </c>
      <c r="AMK207" s="118"/>
    </row>
    <row r="208" spans="1:44 1025:1025" s="546" customFormat="1" ht="42.4" hidden="1" customHeight="1" x14ac:dyDescent="0.2">
      <c r="A208" s="1241"/>
      <c r="B208" s="1828"/>
      <c r="C208" s="1390"/>
      <c r="D208" s="1375"/>
      <c r="E208" s="1471"/>
      <c r="F208" s="1375"/>
      <c r="G208" s="1271"/>
      <c r="H208" s="906"/>
      <c r="I208" s="1120"/>
      <c r="J208" s="1120"/>
      <c r="K208" s="1120"/>
      <c r="L208" s="1120"/>
      <c r="M208" s="1120"/>
      <c r="N208" s="1120"/>
      <c r="O208" s="1120"/>
      <c r="P208" s="133"/>
      <c r="Q208" s="892"/>
      <c r="R208" s="1120"/>
      <c r="S208" s="650"/>
      <c r="T208" s="2092"/>
      <c r="U208" s="2092"/>
      <c r="V208" s="1375"/>
      <c r="W208" s="892"/>
      <c r="X208" s="1120" t="s">
        <v>4</v>
      </c>
      <c r="Y208" s="2090"/>
      <c r="Z208" s="161"/>
      <c r="AA208" s="161"/>
      <c r="AB208" s="161"/>
      <c r="AC208" s="161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37"/>
      <c r="AN208" s="237"/>
      <c r="AO208" s="237"/>
      <c r="AP208" s="237"/>
      <c r="AQ208" s="237"/>
      <c r="AR208" s="1233"/>
      <c r="AMK208" s="118"/>
    </row>
    <row r="209" spans="1:44 1025:1025" s="546" customFormat="1" ht="32.25" hidden="1" customHeight="1" x14ac:dyDescent="0.2">
      <c r="A209" s="1598" t="e">
        <f t="shared" si="7"/>
        <v>#REF!</v>
      </c>
      <c r="B209" s="1827" t="s">
        <v>328</v>
      </c>
      <c r="C209" s="1389" t="s">
        <v>181</v>
      </c>
      <c r="D209" s="1374">
        <v>0.64</v>
      </c>
      <c r="E209" s="1470">
        <v>4571</v>
      </c>
      <c r="F209" s="1374">
        <v>0.64</v>
      </c>
      <c r="G209" s="1558">
        <v>4571</v>
      </c>
      <c r="H209" s="906"/>
      <c r="I209" s="1120"/>
      <c r="J209" s="1120"/>
      <c r="K209" s="1120"/>
      <c r="L209" s="1120"/>
      <c r="M209" s="1120"/>
      <c r="N209" s="1120"/>
      <c r="O209" s="1120"/>
      <c r="P209" s="1120"/>
      <c r="Q209" s="906"/>
      <c r="R209" s="1120"/>
      <c r="S209" s="650"/>
      <c r="T209" s="2091" t="s">
        <v>441</v>
      </c>
      <c r="U209" s="2091" t="s">
        <v>1254</v>
      </c>
      <c r="V209" s="1374" t="s">
        <v>5</v>
      </c>
      <c r="W209" s="906"/>
      <c r="X209" s="1120" t="s">
        <v>2</v>
      </c>
      <c r="Y209" s="2089">
        <f>W209*5360*0.6</f>
        <v>0</v>
      </c>
      <c r="Z209" s="161"/>
      <c r="AA209" s="161"/>
      <c r="AB209" s="161"/>
      <c r="AC209" s="161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237"/>
      <c r="AR209" s="1233" t="s">
        <v>1253</v>
      </c>
      <c r="AMK209" s="118"/>
    </row>
    <row r="210" spans="1:44 1025:1025" s="546" customFormat="1" ht="32.25" hidden="1" customHeight="1" x14ac:dyDescent="0.2">
      <c r="A210" s="1241"/>
      <c r="B210" s="1828"/>
      <c r="C210" s="1390"/>
      <c r="D210" s="1375"/>
      <c r="E210" s="1471"/>
      <c r="F210" s="1375"/>
      <c r="G210" s="1271"/>
      <c r="H210" s="906"/>
      <c r="I210" s="1120"/>
      <c r="J210" s="1120"/>
      <c r="K210" s="1120"/>
      <c r="L210" s="1120"/>
      <c r="M210" s="1120"/>
      <c r="N210" s="1120"/>
      <c r="O210" s="1120"/>
      <c r="P210" s="1120"/>
      <c r="Q210" s="892"/>
      <c r="R210" s="1120"/>
      <c r="S210" s="650"/>
      <c r="T210" s="2092"/>
      <c r="U210" s="2092"/>
      <c r="V210" s="1375"/>
      <c r="W210" s="892"/>
      <c r="X210" s="1120" t="s">
        <v>4</v>
      </c>
      <c r="Y210" s="2090"/>
      <c r="Z210" s="161"/>
      <c r="AA210" s="161"/>
      <c r="AB210" s="161"/>
      <c r="AC210" s="161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7"/>
      <c r="AR210" s="1233"/>
      <c r="AMK210" s="118"/>
    </row>
    <row r="211" spans="1:44 1025:1025" s="546" customFormat="1" ht="36" hidden="1" customHeight="1" x14ac:dyDescent="0.2">
      <c r="A211" s="1598" t="e">
        <f t="shared" si="7"/>
        <v>#REF!</v>
      </c>
      <c r="B211" s="1827" t="s">
        <v>329</v>
      </c>
      <c r="C211" s="1389" t="s">
        <v>182</v>
      </c>
      <c r="D211" s="1374">
        <v>0.68600000000000005</v>
      </c>
      <c r="E211" s="1470">
        <v>4459</v>
      </c>
      <c r="F211" s="1374">
        <v>0.68600000000000005</v>
      </c>
      <c r="G211" s="1558">
        <v>4459</v>
      </c>
      <c r="H211" s="906"/>
      <c r="I211" s="1120"/>
      <c r="J211" s="1120"/>
      <c r="K211" s="1120"/>
      <c r="L211" s="1120"/>
      <c r="M211" s="1120"/>
      <c r="N211" s="133"/>
      <c r="O211" s="133"/>
      <c r="P211" s="1120"/>
      <c r="Q211" s="906"/>
      <c r="R211" s="1120"/>
      <c r="S211" s="650"/>
      <c r="T211" s="2091" t="s">
        <v>441</v>
      </c>
      <c r="U211" s="2093" t="s">
        <v>1256</v>
      </c>
      <c r="V211" s="1374" t="s">
        <v>5</v>
      </c>
      <c r="W211" s="906"/>
      <c r="X211" s="1120" t="s">
        <v>2</v>
      </c>
      <c r="Y211" s="2089">
        <f>W211*5360*0.6</f>
        <v>0</v>
      </c>
      <c r="Z211" s="161"/>
      <c r="AA211" s="161"/>
      <c r="AB211" s="161"/>
      <c r="AC211" s="161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37"/>
      <c r="AN211" s="237"/>
      <c r="AO211" s="237"/>
      <c r="AP211" s="237"/>
      <c r="AQ211" s="237"/>
      <c r="AR211" s="1233" t="s">
        <v>1255</v>
      </c>
      <c r="AMK211" s="118"/>
    </row>
    <row r="212" spans="1:44 1025:1025" s="546" customFormat="1" ht="36" hidden="1" customHeight="1" x14ac:dyDescent="0.2">
      <c r="A212" s="1241"/>
      <c r="B212" s="1828"/>
      <c r="C212" s="1390"/>
      <c r="D212" s="1375"/>
      <c r="E212" s="1471"/>
      <c r="F212" s="1375"/>
      <c r="G212" s="1271"/>
      <c r="H212" s="906"/>
      <c r="I212" s="1120"/>
      <c r="J212" s="1120"/>
      <c r="K212" s="1120"/>
      <c r="L212" s="1120"/>
      <c r="M212" s="1120"/>
      <c r="N212" s="1120"/>
      <c r="O212" s="1120"/>
      <c r="P212" s="1120"/>
      <c r="Q212" s="892"/>
      <c r="R212" s="1120"/>
      <c r="S212" s="650"/>
      <c r="T212" s="2092"/>
      <c r="U212" s="2094"/>
      <c r="V212" s="1375"/>
      <c r="W212" s="892"/>
      <c r="X212" s="1120" t="s">
        <v>4</v>
      </c>
      <c r="Y212" s="2090"/>
      <c r="Z212" s="161"/>
      <c r="AA212" s="161"/>
      <c r="AB212" s="161"/>
      <c r="AC212" s="161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37"/>
      <c r="AN212" s="237"/>
      <c r="AO212" s="237"/>
      <c r="AP212" s="237"/>
      <c r="AQ212" s="237"/>
      <c r="AR212" s="1233"/>
      <c r="AMK212" s="118"/>
    </row>
    <row r="213" spans="1:44 1025:1025" s="546" customFormat="1" ht="33.4" customHeight="1" x14ac:dyDescent="0.2">
      <c r="A213" s="1598">
        <v>51</v>
      </c>
      <c r="B213" s="1374" t="s">
        <v>336</v>
      </c>
      <c r="C213" s="1389" t="s">
        <v>189</v>
      </c>
      <c r="D213" s="1374">
        <v>0.221</v>
      </c>
      <c r="E213" s="1470">
        <v>1592.3</v>
      </c>
      <c r="F213" s="1374">
        <v>0.221</v>
      </c>
      <c r="G213" s="1558">
        <v>1592.3</v>
      </c>
      <c r="H213" s="906"/>
      <c r="I213" s="1120"/>
      <c r="J213" s="1120"/>
      <c r="K213" s="1120"/>
      <c r="L213" s="1120"/>
      <c r="M213" s="1120"/>
      <c r="N213" s="1120"/>
      <c r="O213" s="1120"/>
      <c r="P213" s="1120"/>
      <c r="Q213" s="906"/>
      <c r="R213" s="1120"/>
      <c r="S213" s="650"/>
      <c r="T213" s="290"/>
      <c r="U213" s="290"/>
      <c r="V213" s="460"/>
      <c r="W213" s="906"/>
      <c r="X213" s="1120"/>
      <c r="Y213" s="492"/>
      <c r="Z213" s="2091" t="s">
        <v>441</v>
      </c>
      <c r="AA213" s="2091" t="s">
        <v>1273</v>
      </c>
      <c r="AB213" s="1374" t="s">
        <v>5</v>
      </c>
      <c r="AC213" s="906">
        <v>0.221</v>
      </c>
      <c r="AD213" s="1120" t="s">
        <v>2</v>
      </c>
      <c r="AE213" s="2089">
        <v>2782.0472399999999</v>
      </c>
      <c r="AF213" s="237"/>
      <c r="AG213" s="237"/>
      <c r="AH213" s="237"/>
      <c r="AI213" s="237"/>
      <c r="AJ213" s="237"/>
      <c r="AK213" s="237"/>
      <c r="AL213" s="237"/>
      <c r="AM213" s="237"/>
      <c r="AN213" s="237"/>
      <c r="AO213" s="237"/>
      <c r="AP213" s="237"/>
      <c r="AQ213" s="237"/>
      <c r="AR213" s="1233" t="s">
        <v>1257</v>
      </c>
      <c r="AMK213" s="118"/>
    </row>
    <row r="214" spans="1:44 1025:1025" s="546" customFormat="1" ht="33.4" customHeight="1" x14ac:dyDescent="0.2">
      <c r="A214" s="1241"/>
      <c r="B214" s="1375"/>
      <c r="C214" s="1390"/>
      <c r="D214" s="1375"/>
      <c r="E214" s="1471"/>
      <c r="F214" s="1375"/>
      <c r="G214" s="1271"/>
      <c r="H214" s="906"/>
      <c r="I214" s="1120"/>
      <c r="J214" s="1120"/>
      <c r="K214" s="1120"/>
      <c r="L214" s="1120"/>
      <c r="M214" s="1120"/>
      <c r="N214" s="1120"/>
      <c r="O214" s="1120"/>
      <c r="P214" s="1120"/>
      <c r="Q214" s="892"/>
      <c r="R214" s="1120"/>
      <c r="S214" s="650"/>
      <c r="T214" s="290"/>
      <c r="U214" s="290"/>
      <c r="V214" s="460"/>
      <c r="W214" s="892"/>
      <c r="X214" s="1120"/>
      <c r="Y214" s="492"/>
      <c r="Z214" s="2092"/>
      <c r="AA214" s="2092"/>
      <c r="AB214" s="1375"/>
      <c r="AC214" s="897">
        <v>1592.3</v>
      </c>
      <c r="AD214" s="1120" t="s">
        <v>4</v>
      </c>
      <c r="AE214" s="2090"/>
      <c r="AF214" s="237"/>
      <c r="AG214" s="237"/>
      <c r="AH214" s="237"/>
      <c r="AI214" s="237"/>
      <c r="AJ214" s="237"/>
      <c r="AK214" s="237"/>
      <c r="AL214" s="237"/>
      <c r="AM214" s="237"/>
      <c r="AN214" s="237"/>
      <c r="AO214" s="237"/>
      <c r="AP214" s="237"/>
      <c r="AQ214" s="237"/>
      <c r="AR214" s="1233"/>
      <c r="AMK214" s="118"/>
    </row>
    <row r="215" spans="1:44 1025:1025" s="546" customFormat="1" ht="35.65" customHeight="1" x14ac:dyDescent="0.2">
      <c r="A215" s="1598">
        <v>52</v>
      </c>
      <c r="B215" s="1374" t="s">
        <v>371</v>
      </c>
      <c r="C215" s="1389" t="s">
        <v>228</v>
      </c>
      <c r="D215" s="1374">
        <v>0.36599999999999999</v>
      </c>
      <c r="E215" s="1470">
        <v>4787.84</v>
      </c>
      <c r="F215" s="1374">
        <v>0.36599999999999999</v>
      </c>
      <c r="G215" s="1558">
        <v>4787.84</v>
      </c>
      <c r="H215" s="906"/>
      <c r="I215" s="1120"/>
      <c r="J215" s="1120"/>
      <c r="K215" s="1120"/>
      <c r="L215" s="1120"/>
      <c r="M215" s="1120"/>
      <c r="N215" s="1120"/>
      <c r="O215" s="1120"/>
      <c r="P215" s="1120"/>
      <c r="Q215" s="906"/>
      <c r="R215" s="1120"/>
      <c r="S215" s="650"/>
      <c r="T215" s="290"/>
      <c r="U215" s="290"/>
      <c r="V215" s="460"/>
      <c r="W215" s="906"/>
      <c r="X215" s="1120"/>
      <c r="Y215" s="492"/>
      <c r="Z215" s="2091" t="s">
        <v>441</v>
      </c>
      <c r="AA215" s="2091" t="s">
        <v>1547</v>
      </c>
      <c r="AB215" s="1374" t="s">
        <v>5</v>
      </c>
      <c r="AC215" s="906">
        <v>0.371</v>
      </c>
      <c r="AD215" s="1120" t="s">
        <v>2</v>
      </c>
      <c r="AE215" s="2089">
        <v>7801.9424300000001</v>
      </c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  <c r="AQ215" s="237"/>
      <c r="AR215" s="1233" t="s">
        <v>1258</v>
      </c>
      <c r="AMK215" s="118"/>
    </row>
    <row r="216" spans="1:44 1025:1025" s="546" customFormat="1" ht="35.65" customHeight="1" x14ac:dyDescent="0.2">
      <c r="A216" s="1241"/>
      <c r="B216" s="1375"/>
      <c r="C216" s="1390"/>
      <c r="D216" s="1375"/>
      <c r="E216" s="1471"/>
      <c r="F216" s="1375"/>
      <c r="G216" s="1271"/>
      <c r="H216" s="906"/>
      <c r="I216" s="1120"/>
      <c r="J216" s="1120"/>
      <c r="K216" s="1120"/>
      <c r="L216" s="1120"/>
      <c r="M216" s="1120"/>
      <c r="N216" s="1120"/>
      <c r="O216" s="1120"/>
      <c r="P216" s="1120"/>
      <c r="Q216" s="892"/>
      <c r="R216" s="1120"/>
      <c r="S216" s="650"/>
      <c r="T216" s="290"/>
      <c r="U216" s="290"/>
      <c r="V216" s="460"/>
      <c r="W216" s="892"/>
      <c r="X216" s="1120"/>
      <c r="Y216" s="492"/>
      <c r="Z216" s="2092"/>
      <c r="AA216" s="2092"/>
      <c r="AB216" s="1375"/>
      <c r="AC216" s="897">
        <v>4787.84</v>
      </c>
      <c r="AD216" s="1120" t="s">
        <v>4</v>
      </c>
      <c r="AE216" s="2090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7"/>
      <c r="AP216" s="237"/>
      <c r="AQ216" s="237"/>
      <c r="AR216" s="1233"/>
      <c r="AMK216" s="118"/>
    </row>
    <row r="217" spans="1:44 1025:1025" s="546" customFormat="1" ht="32.1" hidden="1" customHeight="1" x14ac:dyDescent="0.2">
      <c r="A217" s="1598">
        <f t="shared" si="7"/>
        <v>53</v>
      </c>
      <c r="B217" s="1827" t="s">
        <v>331</v>
      </c>
      <c r="C217" s="1389" t="s">
        <v>184</v>
      </c>
      <c r="D217" s="1374">
        <v>0.56200000000000006</v>
      </c>
      <c r="E217" s="1470">
        <v>3953</v>
      </c>
      <c r="F217" s="1374">
        <v>0.56200000000000006</v>
      </c>
      <c r="G217" s="1558">
        <v>3953</v>
      </c>
      <c r="H217" s="906"/>
      <c r="I217" s="1120"/>
      <c r="J217" s="1120"/>
      <c r="K217" s="1120"/>
      <c r="L217" s="1120"/>
      <c r="M217" s="1120"/>
      <c r="N217" s="1120"/>
      <c r="O217" s="1120"/>
      <c r="P217" s="1120"/>
      <c r="Q217" s="906"/>
      <c r="R217" s="1120"/>
      <c r="S217" s="650"/>
      <c r="T217" s="2091" t="s">
        <v>441</v>
      </c>
      <c r="U217" s="2091" t="s">
        <v>1260</v>
      </c>
      <c r="V217" s="1374" t="s">
        <v>5</v>
      </c>
      <c r="W217" s="906"/>
      <c r="X217" s="1120" t="s">
        <v>2</v>
      </c>
      <c r="Y217" s="2089">
        <f>W217*5360*0.6</f>
        <v>0</v>
      </c>
      <c r="Z217" s="161"/>
      <c r="AA217" s="161"/>
      <c r="AB217" s="161"/>
      <c r="AC217" s="161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37"/>
      <c r="AN217" s="237"/>
      <c r="AO217" s="237"/>
      <c r="AP217" s="237"/>
      <c r="AQ217" s="237"/>
      <c r="AR217" s="1233" t="s">
        <v>1259</v>
      </c>
      <c r="AMK217" s="118"/>
    </row>
    <row r="218" spans="1:44 1025:1025" s="546" customFormat="1" ht="33.4" hidden="1" customHeight="1" x14ac:dyDescent="0.2">
      <c r="A218" s="1241"/>
      <c r="B218" s="1828"/>
      <c r="C218" s="1390"/>
      <c r="D218" s="1375"/>
      <c r="E218" s="1471"/>
      <c r="F218" s="1375"/>
      <c r="G218" s="1271"/>
      <c r="H218" s="906"/>
      <c r="I218" s="1120"/>
      <c r="J218" s="1120"/>
      <c r="K218" s="1120"/>
      <c r="L218" s="1120"/>
      <c r="M218" s="1120"/>
      <c r="N218" s="1120"/>
      <c r="O218" s="1120"/>
      <c r="P218" s="1120"/>
      <c r="Q218" s="892"/>
      <c r="R218" s="1120"/>
      <c r="S218" s="650"/>
      <c r="T218" s="2092"/>
      <c r="U218" s="2092"/>
      <c r="V218" s="1375"/>
      <c r="W218" s="892"/>
      <c r="X218" s="1120" t="s">
        <v>4</v>
      </c>
      <c r="Y218" s="2090"/>
      <c r="Z218" s="161"/>
      <c r="AA218" s="161"/>
      <c r="AB218" s="161"/>
      <c r="AC218" s="161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37"/>
      <c r="AN218" s="237"/>
      <c r="AO218" s="237"/>
      <c r="AP218" s="237"/>
      <c r="AQ218" s="237"/>
      <c r="AR218" s="1233"/>
      <c r="AMK218" s="118"/>
    </row>
    <row r="219" spans="1:44 1025:1025" s="546" customFormat="1" ht="43.15" hidden="1" customHeight="1" x14ac:dyDescent="0.2">
      <c r="A219" s="1598">
        <v>53</v>
      </c>
      <c r="B219" s="1827" t="s">
        <v>378</v>
      </c>
      <c r="C219" s="1389" t="s">
        <v>235</v>
      </c>
      <c r="D219" s="1374">
        <v>0.91500000000000004</v>
      </c>
      <c r="E219" s="1470">
        <v>8235</v>
      </c>
      <c r="F219" s="1374">
        <v>0.91500000000000004</v>
      </c>
      <c r="G219" s="1558">
        <v>8235</v>
      </c>
      <c r="H219" s="906"/>
      <c r="I219" s="1120"/>
      <c r="J219" s="1120"/>
      <c r="K219" s="1120"/>
      <c r="L219" s="1120"/>
      <c r="M219" s="1120"/>
      <c r="N219" s="1120"/>
      <c r="O219" s="1120"/>
      <c r="P219" s="1120"/>
      <c r="Q219" s="906"/>
      <c r="R219" s="1120"/>
      <c r="S219" s="650"/>
      <c r="T219" s="2091" t="s">
        <v>441</v>
      </c>
      <c r="U219" s="2091" t="s">
        <v>1262</v>
      </c>
      <c r="V219" s="1374" t="s">
        <v>5</v>
      </c>
      <c r="W219" s="906"/>
      <c r="X219" s="1120" t="s">
        <v>2</v>
      </c>
      <c r="Y219" s="2089"/>
      <c r="Z219" s="161"/>
      <c r="AA219" s="161"/>
      <c r="AB219" s="161"/>
      <c r="AC219" s="161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37"/>
      <c r="AN219" s="237"/>
      <c r="AO219" s="237"/>
      <c r="AP219" s="237"/>
      <c r="AQ219" s="237"/>
      <c r="AR219" s="1233" t="s">
        <v>1261</v>
      </c>
      <c r="AMK219" s="118"/>
    </row>
    <row r="220" spans="1:44 1025:1025" s="546" customFormat="1" ht="49.15" hidden="1" customHeight="1" x14ac:dyDescent="0.2">
      <c r="A220" s="1241"/>
      <c r="B220" s="1828"/>
      <c r="C220" s="1390"/>
      <c r="D220" s="1375"/>
      <c r="E220" s="1471"/>
      <c r="F220" s="1375"/>
      <c r="G220" s="1271"/>
      <c r="H220" s="906"/>
      <c r="I220" s="1120"/>
      <c r="J220" s="1120"/>
      <c r="K220" s="1120"/>
      <c r="L220" s="1120"/>
      <c r="M220" s="1120"/>
      <c r="N220" s="1120"/>
      <c r="O220" s="1120"/>
      <c r="P220" s="133"/>
      <c r="Q220" s="892"/>
      <c r="R220" s="1120"/>
      <c r="S220" s="650"/>
      <c r="T220" s="2092"/>
      <c r="U220" s="2092"/>
      <c r="V220" s="1375"/>
      <c r="W220" s="892"/>
      <c r="X220" s="1120" t="s">
        <v>4</v>
      </c>
      <c r="Y220" s="2090"/>
      <c r="Z220" s="161"/>
      <c r="AA220" s="161"/>
      <c r="AB220" s="161"/>
      <c r="AC220" s="161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1233"/>
      <c r="AMK220" s="118"/>
    </row>
    <row r="221" spans="1:44 1025:1025" s="546" customFormat="1" ht="40.15" hidden="1" customHeight="1" x14ac:dyDescent="0.2">
      <c r="A221" s="1598">
        <f t="shared" si="7"/>
        <v>54</v>
      </c>
      <c r="B221" s="1827" t="s">
        <v>377</v>
      </c>
      <c r="C221" s="1389" t="s">
        <v>234</v>
      </c>
      <c r="D221" s="1374">
        <v>0.98</v>
      </c>
      <c r="E221" s="1470">
        <f>4830+5980</f>
        <v>10810</v>
      </c>
      <c r="F221" s="1374">
        <v>0.98</v>
      </c>
      <c r="G221" s="1558">
        <f>4830+5980</f>
        <v>10810</v>
      </c>
      <c r="H221" s="906"/>
      <c r="I221" s="1120"/>
      <c r="J221" s="650"/>
      <c r="K221" s="1120"/>
      <c r="L221" s="1120"/>
      <c r="M221" s="1120"/>
      <c r="N221" s="1120"/>
      <c r="O221" s="1120"/>
      <c r="P221" s="1120"/>
      <c r="Q221" s="906"/>
      <c r="R221" s="1120"/>
      <c r="S221" s="650"/>
      <c r="T221" s="2091" t="s">
        <v>441</v>
      </c>
      <c r="U221" s="2091" t="s">
        <v>1264</v>
      </c>
      <c r="V221" s="1374" t="s">
        <v>5</v>
      </c>
      <c r="W221" s="906"/>
      <c r="X221" s="1120" t="s">
        <v>2</v>
      </c>
      <c r="Y221" s="2089">
        <f>W221*5360*0.6</f>
        <v>0</v>
      </c>
      <c r="Z221" s="161"/>
      <c r="AA221" s="161"/>
      <c r="AB221" s="161"/>
      <c r="AC221" s="161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1233" t="s">
        <v>1263</v>
      </c>
      <c r="AMK221" s="118"/>
    </row>
    <row r="222" spans="1:44 1025:1025" s="546" customFormat="1" ht="45.6" hidden="1" customHeight="1" x14ac:dyDescent="0.2">
      <c r="A222" s="1241"/>
      <c r="B222" s="1828"/>
      <c r="C222" s="1390"/>
      <c r="D222" s="1375"/>
      <c r="E222" s="1471"/>
      <c r="F222" s="1375"/>
      <c r="G222" s="1271"/>
      <c r="H222" s="906"/>
      <c r="I222" s="1120"/>
      <c r="J222" s="1120"/>
      <c r="K222" s="1120"/>
      <c r="L222" s="1120"/>
      <c r="M222" s="1120"/>
      <c r="N222" s="1120"/>
      <c r="O222" s="1120"/>
      <c r="P222" s="1120"/>
      <c r="Q222" s="892"/>
      <c r="R222" s="1120"/>
      <c r="S222" s="650"/>
      <c r="T222" s="2092"/>
      <c r="U222" s="2092"/>
      <c r="V222" s="1375"/>
      <c r="W222" s="892"/>
      <c r="X222" s="1120" t="s">
        <v>4</v>
      </c>
      <c r="Y222" s="2090"/>
      <c r="Z222" s="161"/>
      <c r="AA222" s="161"/>
      <c r="AB222" s="161"/>
      <c r="AC222" s="161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1233"/>
      <c r="AMK222" s="118"/>
    </row>
    <row r="223" spans="1:44 1025:1025" s="546" customFormat="1" ht="33.4" hidden="1" customHeight="1" x14ac:dyDescent="0.2">
      <c r="A223" s="1598">
        <f t="shared" si="7"/>
        <v>55</v>
      </c>
      <c r="B223" s="1827" t="s">
        <v>378</v>
      </c>
      <c r="C223" s="1389" t="s">
        <v>236</v>
      </c>
      <c r="D223" s="1374">
        <v>0.90300000000000002</v>
      </c>
      <c r="E223" s="1470">
        <v>9168.7999999999993</v>
      </c>
      <c r="F223" s="1374">
        <v>0.90300000000000002</v>
      </c>
      <c r="G223" s="1558">
        <v>9168.7999999999993</v>
      </c>
      <c r="H223" s="906"/>
      <c r="I223" s="1120"/>
      <c r="J223" s="1120"/>
      <c r="K223" s="1120"/>
      <c r="L223" s="1120"/>
      <c r="M223" s="1120"/>
      <c r="N223" s="1120"/>
      <c r="O223" s="1120"/>
      <c r="P223" s="1120"/>
      <c r="Q223" s="906"/>
      <c r="R223" s="1120"/>
      <c r="S223" s="650"/>
      <c r="T223" s="2091" t="s">
        <v>441</v>
      </c>
      <c r="U223" s="2091" t="s">
        <v>1266</v>
      </c>
      <c r="V223" s="1374" t="s">
        <v>5</v>
      </c>
      <c r="W223" s="906"/>
      <c r="X223" s="1120" t="s">
        <v>2</v>
      </c>
      <c r="Y223" s="2089">
        <f>W223*5360*0.6</f>
        <v>0</v>
      </c>
      <c r="Z223" s="161"/>
      <c r="AA223" s="161"/>
      <c r="AB223" s="161"/>
      <c r="AC223" s="161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37"/>
      <c r="AN223" s="237"/>
      <c r="AO223" s="237"/>
      <c r="AP223" s="237"/>
      <c r="AQ223" s="237"/>
      <c r="AR223" s="1233" t="s">
        <v>1265</v>
      </c>
      <c r="AMK223" s="118"/>
    </row>
    <row r="224" spans="1:44 1025:1025" s="546" customFormat="1" ht="32.85" hidden="1" customHeight="1" x14ac:dyDescent="0.2">
      <c r="A224" s="1241"/>
      <c r="B224" s="1828"/>
      <c r="C224" s="1390"/>
      <c r="D224" s="1375"/>
      <c r="E224" s="1471"/>
      <c r="F224" s="1375"/>
      <c r="G224" s="1271"/>
      <c r="H224" s="906"/>
      <c r="I224" s="1120"/>
      <c r="J224" s="1120"/>
      <c r="K224" s="1120"/>
      <c r="L224" s="1120"/>
      <c r="M224" s="1120"/>
      <c r="N224" s="1120"/>
      <c r="O224" s="1120"/>
      <c r="P224" s="1120"/>
      <c r="Q224" s="892"/>
      <c r="R224" s="1120"/>
      <c r="S224" s="650"/>
      <c r="T224" s="2092"/>
      <c r="U224" s="2092"/>
      <c r="V224" s="1375"/>
      <c r="W224" s="892"/>
      <c r="X224" s="1120" t="s">
        <v>4</v>
      </c>
      <c r="Y224" s="2090"/>
      <c r="Z224" s="161"/>
      <c r="AA224" s="161"/>
      <c r="AB224" s="161"/>
      <c r="AC224" s="161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37"/>
      <c r="AN224" s="237"/>
      <c r="AO224" s="237"/>
      <c r="AP224" s="237"/>
      <c r="AQ224" s="237"/>
      <c r="AR224" s="1233"/>
      <c r="AMK224" s="118"/>
    </row>
    <row r="225" spans="1:44" s="116" customFormat="1" ht="44.65" hidden="1" customHeight="1" x14ac:dyDescent="0.2">
      <c r="A225" s="1598">
        <f t="shared" si="7"/>
        <v>56</v>
      </c>
      <c r="B225" s="1374" t="s">
        <v>342</v>
      </c>
      <c r="C225" s="1389" t="s">
        <v>196</v>
      </c>
      <c r="D225" s="1374">
        <v>0.35399999999999998</v>
      </c>
      <c r="E225" s="1470">
        <v>1888</v>
      </c>
      <c r="F225" s="1374">
        <v>0.35399999999999998</v>
      </c>
      <c r="G225" s="1558">
        <v>1888</v>
      </c>
      <c r="H225" s="906"/>
      <c r="I225" s="906"/>
      <c r="J225" s="906"/>
      <c r="K225" s="906"/>
      <c r="L225" s="906"/>
      <c r="M225" s="906"/>
      <c r="N225" s="906"/>
      <c r="O225" s="906"/>
      <c r="P225" s="906"/>
      <c r="Q225" s="906"/>
      <c r="R225" s="906"/>
      <c r="S225" s="897"/>
      <c r="T225" s="2091" t="s">
        <v>441</v>
      </c>
      <c r="U225" s="1374" t="s">
        <v>610</v>
      </c>
      <c r="V225" s="1374" t="s">
        <v>5</v>
      </c>
      <c r="W225" s="906"/>
      <c r="X225" s="906" t="s">
        <v>2</v>
      </c>
      <c r="Y225" s="2089">
        <f>W225*5360*0.6</f>
        <v>0</v>
      </c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3" t="s">
        <v>1267</v>
      </c>
    </row>
    <row r="226" spans="1:44" s="116" customFormat="1" ht="28.9" hidden="1" customHeight="1" x14ac:dyDescent="0.2">
      <c r="A226" s="1241"/>
      <c r="B226" s="1375"/>
      <c r="C226" s="1390"/>
      <c r="D226" s="1375"/>
      <c r="E226" s="1471"/>
      <c r="F226" s="1375"/>
      <c r="G226" s="1271"/>
      <c r="H226" s="906"/>
      <c r="I226" s="906"/>
      <c r="J226" s="906"/>
      <c r="K226" s="906"/>
      <c r="L226" s="906"/>
      <c r="M226" s="906"/>
      <c r="N226" s="906"/>
      <c r="O226" s="906"/>
      <c r="P226" s="906"/>
      <c r="Q226" s="906"/>
      <c r="R226" s="906"/>
      <c r="S226" s="897"/>
      <c r="T226" s="2092"/>
      <c r="U226" s="1375"/>
      <c r="V226" s="1375"/>
      <c r="W226" s="892"/>
      <c r="X226" s="906" t="s">
        <v>4</v>
      </c>
      <c r="Y226" s="2090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3"/>
    </row>
    <row r="227" spans="1:44" s="116" customFormat="1" ht="35.65" hidden="1" customHeight="1" x14ac:dyDescent="0.2">
      <c r="A227" s="1598">
        <f t="shared" si="7"/>
        <v>57</v>
      </c>
      <c r="B227" s="1374" t="s">
        <v>334</v>
      </c>
      <c r="C227" s="1389" t="s">
        <v>187</v>
      </c>
      <c r="D227" s="1374">
        <v>0.21099999999999999</v>
      </c>
      <c r="E227" s="1470">
        <v>1024</v>
      </c>
      <c r="F227" s="1374">
        <v>0.21099999999999999</v>
      </c>
      <c r="G227" s="1558">
        <v>1024</v>
      </c>
      <c r="H227" s="906"/>
      <c r="I227" s="906"/>
      <c r="J227" s="906"/>
      <c r="K227" s="906"/>
      <c r="L227" s="906"/>
      <c r="M227" s="906"/>
      <c r="N227" s="906"/>
      <c r="O227" s="906"/>
      <c r="P227" s="906"/>
      <c r="Q227" s="906"/>
      <c r="R227" s="906"/>
      <c r="S227" s="897"/>
      <c r="T227" s="2091" t="s">
        <v>441</v>
      </c>
      <c r="U227" s="1374" t="s">
        <v>1269</v>
      </c>
      <c r="V227" s="1374" t="s">
        <v>5</v>
      </c>
      <c r="W227" s="906"/>
      <c r="X227" s="906" t="s">
        <v>2</v>
      </c>
      <c r="Y227" s="2089">
        <f>W227*5360*0.6</f>
        <v>0</v>
      </c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3" t="s">
        <v>1268</v>
      </c>
    </row>
    <row r="228" spans="1:44" s="116" customFormat="1" ht="33.4" hidden="1" customHeight="1" x14ac:dyDescent="0.2">
      <c r="A228" s="1241"/>
      <c r="B228" s="1375"/>
      <c r="C228" s="1390"/>
      <c r="D228" s="1375"/>
      <c r="E228" s="1471"/>
      <c r="F228" s="1375"/>
      <c r="G228" s="1271"/>
      <c r="H228" s="906"/>
      <c r="I228" s="906"/>
      <c r="J228" s="906"/>
      <c r="K228" s="906"/>
      <c r="L228" s="906"/>
      <c r="M228" s="906"/>
      <c r="N228" s="906"/>
      <c r="O228" s="906"/>
      <c r="P228" s="906"/>
      <c r="Q228" s="906"/>
      <c r="R228" s="906"/>
      <c r="S228" s="897"/>
      <c r="T228" s="2092"/>
      <c r="U228" s="1375"/>
      <c r="V228" s="1375"/>
      <c r="W228" s="892"/>
      <c r="X228" s="906" t="s">
        <v>4</v>
      </c>
      <c r="Y228" s="2090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3"/>
    </row>
    <row r="229" spans="1:44" s="116" customFormat="1" ht="36" hidden="1" customHeight="1" x14ac:dyDescent="0.2">
      <c r="A229" s="1598">
        <f t="shared" si="7"/>
        <v>58</v>
      </c>
      <c r="B229" s="1374" t="s">
        <v>335</v>
      </c>
      <c r="C229" s="1389" t="s">
        <v>188</v>
      </c>
      <c r="D229" s="1374">
        <v>0.30199999999999999</v>
      </c>
      <c r="E229" s="1470">
        <v>1709</v>
      </c>
      <c r="F229" s="1374">
        <v>0.30199999999999999</v>
      </c>
      <c r="G229" s="1558">
        <v>1709</v>
      </c>
      <c r="H229" s="906"/>
      <c r="I229" s="906"/>
      <c r="J229" s="906"/>
      <c r="K229" s="906"/>
      <c r="L229" s="906"/>
      <c r="M229" s="906"/>
      <c r="N229" s="906"/>
      <c r="O229" s="906"/>
      <c r="P229" s="906"/>
      <c r="Q229" s="906"/>
      <c r="R229" s="906"/>
      <c r="S229" s="897"/>
      <c r="T229" s="2091" t="s">
        <v>441</v>
      </c>
      <c r="U229" s="1374" t="s">
        <v>1271</v>
      </c>
      <c r="V229" s="1374" t="s">
        <v>5</v>
      </c>
      <c r="W229" s="906"/>
      <c r="X229" s="906" t="s">
        <v>2</v>
      </c>
      <c r="Y229" s="2089">
        <f>W229*5360*0.6</f>
        <v>0</v>
      </c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3" t="s">
        <v>1270</v>
      </c>
    </row>
    <row r="230" spans="1:44" s="116" customFormat="1" ht="36" hidden="1" customHeight="1" x14ac:dyDescent="0.2">
      <c r="A230" s="1241"/>
      <c r="B230" s="1375"/>
      <c r="C230" s="1390"/>
      <c r="D230" s="1375"/>
      <c r="E230" s="1471"/>
      <c r="F230" s="1375"/>
      <c r="G230" s="1271"/>
      <c r="H230" s="906"/>
      <c r="I230" s="906"/>
      <c r="J230" s="906"/>
      <c r="K230" s="906"/>
      <c r="L230" s="906"/>
      <c r="M230" s="906"/>
      <c r="N230" s="906"/>
      <c r="O230" s="906"/>
      <c r="P230" s="906"/>
      <c r="Q230" s="906"/>
      <c r="R230" s="906"/>
      <c r="S230" s="897"/>
      <c r="T230" s="2092"/>
      <c r="U230" s="1375"/>
      <c r="V230" s="1375"/>
      <c r="W230" s="892"/>
      <c r="X230" s="906" t="s">
        <v>4</v>
      </c>
      <c r="Y230" s="2090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3"/>
    </row>
    <row r="231" spans="1:44" s="116" customFormat="1" ht="32.1" hidden="1" customHeight="1" x14ac:dyDescent="0.2">
      <c r="A231" s="1598">
        <f t="shared" si="7"/>
        <v>59</v>
      </c>
      <c r="B231" s="1374" t="s">
        <v>336</v>
      </c>
      <c r="C231" s="1389" t="s">
        <v>189</v>
      </c>
      <c r="D231" s="1374">
        <v>0.221</v>
      </c>
      <c r="E231" s="1470">
        <v>1058</v>
      </c>
      <c r="F231" s="1374">
        <v>0.221</v>
      </c>
      <c r="G231" s="1558">
        <v>1058</v>
      </c>
      <c r="H231" s="906"/>
      <c r="I231" s="906"/>
      <c r="J231" s="906"/>
      <c r="K231" s="906"/>
      <c r="L231" s="906"/>
      <c r="M231" s="906"/>
      <c r="N231" s="906"/>
      <c r="O231" s="906"/>
      <c r="P231" s="906"/>
      <c r="Q231" s="906"/>
      <c r="R231" s="906"/>
      <c r="S231" s="897"/>
      <c r="T231" s="2091" t="s">
        <v>441</v>
      </c>
      <c r="U231" s="1374" t="s">
        <v>1273</v>
      </c>
      <c r="V231" s="1374" t="s">
        <v>5</v>
      </c>
      <c r="W231" s="906"/>
      <c r="X231" s="906" t="s">
        <v>2</v>
      </c>
      <c r="Y231" s="2089">
        <f>W231*5360*0.7</f>
        <v>0</v>
      </c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3" t="s">
        <v>1272</v>
      </c>
    </row>
    <row r="232" spans="1:44" s="116" customFormat="1" ht="40.15" hidden="1" customHeight="1" x14ac:dyDescent="0.2">
      <c r="A232" s="1241"/>
      <c r="B232" s="1375"/>
      <c r="C232" s="1390"/>
      <c r="D232" s="1375"/>
      <c r="E232" s="1471"/>
      <c r="F232" s="1375"/>
      <c r="G232" s="1271"/>
      <c r="H232" s="906"/>
      <c r="I232" s="906"/>
      <c r="J232" s="906"/>
      <c r="K232" s="906"/>
      <c r="L232" s="906"/>
      <c r="M232" s="906"/>
      <c r="N232" s="906"/>
      <c r="O232" s="906"/>
      <c r="P232" s="906"/>
      <c r="Q232" s="906"/>
      <c r="R232" s="906"/>
      <c r="S232" s="897"/>
      <c r="T232" s="2092"/>
      <c r="U232" s="1375"/>
      <c r="V232" s="1375"/>
      <c r="W232" s="892"/>
      <c r="X232" s="906" t="s">
        <v>4</v>
      </c>
      <c r="Y232" s="2090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3"/>
    </row>
    <row r="233" spans="1:44" s="116" customFormat="1" ht="32.1" hidden="1" customHeight="1" x14ac:dyDescent="0.2">
      <c r="A233" s="1598">
        <f t="shared" si="7"/>
        <v>60</v>
      </c>
      <c r="B233" s="1374" t="s">
        <v>337</v>
      </c>
      <c r="C233" s="1389" t="s">
        <v>190</v>
      </c>
      <c r="D233" s="1374">
        <v>0.34100000000000003</v>
      </c>
      <c r="E233" s="1470">
        <v>2177</v>
      </c>
      <c r="F233" s="1374">
        <v>0.34100000000000003</v>
      </c>
      <c r="G233" s="1558">
        <v>2177</v>
      </c>
      <c r="H233" s="906"/>
      <c r="I233" s="906"/>
      <c r="J233" s="906"/>
      <c r="K233" s="906"/>
      <c r="L233" s="906"/>
      <c r="M233" s="906"/>
      <c r="N233" s="906"/>
      <c r="O233" s="906"/>
      <c r="P233" s="906"/>
      <c r="Q233" s="906"/>
      <c r="R233" s="906"/>
      <c r="S233" s="897"/>
      <c r="T233" s="2091" t="s">
        <v>441</v>
      </c>
      <c r="U233" s="1374" t="s">
        <v>1274</v>
      </c>
      <c r="V233" s="1374" t="s">
        <v>5</v>
      </c>
      <c r="W233" s="906"/>
      <c r="X233" s="906" t="s">
        <v>2</v>
      </c>
      <c r="Y233" s="2089">
        <f>W233*5360*0.7</f>
        <v>0</v>
      </c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3" t="s">
        <v>1235</v>
      </c>
    </row>
    <row r="234" spans="1:44" s="116" customFormat="1" ht="37.35" hidden="1" customHeight="1" x14ac:dyDescent="0.2">
      <c r="A234" s="1241"/>
      <c r="B234" s="1375"/>
      <c r="C234" s="1390"/>
      <c r="D234" s="1375"/>
      <c r="E234" s="1471"/>
      <c r="F234" s="1375"/>
      <c r="G234" s="1271"/>
      <c r="H234" s="906"/>
      <c r="I234" s="906"/>
      <c r="J234" s="906"/>
      <c r="K234" s="906"/>
      <c r="L234" s="906"/>
      <c r="M234" s="906"/>
      <c r="N234" s="906"/>
      <c r="O234" s="906"/>
      <c r="P234" s="906"/>
      <c r="Q234" s="906"/>
      <c r="R234" s="906"/>
      <c r="S234" s="897"/>
      <c r="T234" s="2092"/>
      <c r="U234" s="1375"/>
      <c r="V234" s="1375"/>
      <c r="W234" s="892"/>
      <c r="X234" s="906" t="s">
        <v>4</v>
      </c>
      <c r="Y234" s="2090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3"/>
    </row>
    <row r="235" spans="1:44" s="116" customFormat="1" ht="34.700000000000003" hidden="1" customHeight="1" x14ac:dyDescent="0.2">
      <c r="A235" s="1598">
        <f t="shared" si="7"/>
        <v>61</v>
      </c>
      <c r="B235" s="1374" t="s">
        <v>338</v>
      </c>
      <c r="C235" s="1389" t="s">
        <v>191</v>
      </c>
      <c r="D235" s="1374">
        <v>1.5049999999999999</v>
      </c>
      <c r="E235" s="1470">
        <v>12727</v>
      </c>
      <c r="F235" s="1374">
        <v>1.5049999999999999</v>
      </c>
      <c r="G235" s="1558">
        <v>12727</v>
      </c>
      <c r="H235" s="906"/>
      <c r="I235" s="906"/>
      <c r="J235" s="906"/>
      <c r="K235" s="906"/>
      <c r="L235" s="906"/>
      <c r="M235" s="906"/>
      <c r="N235" s="906"/>
      <c r="O235" s="906"/>
      <c r="P235" s="906"/>
      <c r="Q235" s="906"/>
      <c r="R235" s="906"/>
      <c r="S235" s="897"/>
      <c r="T235" s="2091" t="s">
        <v>441</v>
      </c>
      <c r="U235" s="1374" t="s">
        <v>1276</v>
      </c>
      <c r="V235" s="1374" t="s">
        <v>5</v>
      </c>
      <c r="W235" s="906"/>
      <c r="X235" s="906" t="s">
        <v>2</v>
      </c>
      <c r="Y235" s="2089">
        <f>W235*5360*0.7</f>
        <v>0</v>
      </c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3" t="s">
        <v>1275</v>
      </c>
    </row>
    <row r="236" spans="1:44" s="116" customFormat="1" ht="34.700000000000003" hidden="1" customHeight="1" x14ac:dyDescent="0.2">
      <c r="A236" s="1241"/>
      <c r="B236" s="1375"/>
      <c r="C236" s="1390"/>
      <c r="D236" s="1375"/>
      <c r="E236" s="1471"/>
      <c r="F236" s="1375"/>
      <c r="G236" s="1271"/>
      <c r="H236" s="906"/>
      <c r="I236" s="906"/>
      <c r="J236" s="906"/>
      <c r="K236" s="906"/>
      <c r="L236" s="906"/>
      <c r="M236" s="906"/>
      <c r="N236" s="906"/>
      <c r="O236" s="906"/>
      <c r="P236" s="906"/>
      <c r="Q236" s="906"/>
      <c r="R236" s="906"/>
      <c r="S236" s="897"/>
      <c r="T236" s="2092"/>
      <c r="U236" s="1375"/>
      <c r="V236" s="1375"/>
      <c r="W236" s="892"/>
      <c r="X236" s="906" t="s">
        <v>4</v>
      </c>
      <c r="Y236" s="2090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3"/>
    </row>
    <row r="237" spans="1:44" s="116" customFormat="1" ht="48.2" hidden="1" customHeight="1" x14ac:dyDescent="0.2">
      <c r="A237" s="1598">
        <f t="shared" si="7"/>
        <v>62</v>
      </c>
      <c r="B237" s="1370">
        <v>3407138</v>
      </c>
      <c r="C237" s="1389" t="s">
        <v>192</v>
      </c>
      <c r="D237" s="1374">
        <v>3.75</v>
      </c>
      <c r="E237" s="1470">
        <v>42750</v>
      </c>
      <c r="F237" s="1374">
        <v>3.75</v>
      </c>
      <c r="G237" s="1558">
        <v>42750</v>
      </c>
      <c r="H237" s="906"/>
      <c r="I237" s="906"/>
      <c r="J237" s="906"/>
      <c r="K237" s="906"/>
      <c r="L237" s="906"/>
      <c r="M237" s="906"/>
      <c r="N237" s="906"/>
      <c r="O237" s="906"/>
      <c r="P237" s="906"/>
      <c r="Q237" s="906"/>
      <c r="R237" s="906"/>
      <c r="S237" s="897"/>
      <c r="T237" s="2091" t="s">
        <v>441</v>
      </c>
      <c r="U237" s="1374" t="s">
        <v>464</v>
      </c>
      <c r="V237" s="1374" t="s">
        <v>5</v>
      </c>
      <c r="W237" s="906"/>
      <c r="X237" s="906" t="s">
        <v>2</v>
      </c>
      <c r="Y237" s="2089">
        <f>W237*5360*0.67</f>
        <v>0</v>
      </c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3" t="s">
        <v>1277</v>
      </c>
    </row>
    <row r="238" spans="1:44" s="116" customFormat="1" ht="36" hidden="1" customHeight="1" x14ac:dyDescent="0.2">
      <c r="A238" s="1241"/>
      <c r="B238" s="1371"/>
      <c r="C238" s="1390"/>
      <c r="D238" s="1375"/>
      <c r="E238" s="1471"/>
      <c r="F238" s="1375"/>
      <c r="G238" s="1271"/>
      <c r="H238" s="906"/>
      <c r="I238" s="906"/>
      <c r="J238" s="906"/>
      <c r="K238" s="906"/>
      <c r="L238" s="906"/>
      <c r="M238" s="906"/>
      <c r="N238" s="906"/>
      <c r="O238" s="906"/>
      <c r="P238" s="906"/>
      <c r="Q238" s="906"/>
      <c r="R238" s="906"/>
      <c r="S238" s="897"/>
      <c r="T238" s="2092"/>
      <c r="U238" s="1375"/>
      <c r="V238" s="1375"/>
      <c r="W238" s="892"/>
      <c r="X238" s="906" t="s">
        <v>4</v>
      </c>
      <c r="Y238" s="2090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3"/>
    </row>
    <row r="239" spans="1:44" s="116" customFormat="1" ht="32.1" hidden="1" customHeight="1" x14ac:dyDescent="0.2">
      <c r="A239" s="1598">
        <f t="shared" si="7"/>
        <v>63</v>
      </c>
      <c r="B239" s="1374" t="s">
        <v>340</v>
      </c>
      <c r="C239" s="1389" t="s">
        <v>194</v>
      </c>
      <c r="D239" s="1374">
        <v>0.20200000000000001</v>
      </c>
      <c r="E239" s="1470">
        <v>1731</v>
      </c>
      <c r="F239" s="1374">
        <v>0.20200000000000001</v>
      </c>
      <c r="G239" s="1558">
        <v>1731</v>
      </c>
      <c r="H239" s="906"/>
      <c r="I239" s="906"/>
      <c r="J239" s="906"/>
      <c r="K239" s="906"/>
      <c r="L239" s="906"/>
      <c r="M239" s="906"/>
      <c r="N239" s="906"/>
      <c r="O239" s="906"/>
      <c r="P239" s="906"/>
      <c r="Q239" s="906"/>
      <c r="R239" s="906"/>
      <c r="S239" s="897"/>
      <c r="T239" s="2091" t="s">
        <v>441</v>
      </c>
      <c r="U239" s="1374" t="s">
        <v>555</v>
      </c>
      <c r="V239" s="1374" t="s">
        <v>5</v>
      </c>
      <c r="W239" s="906"/>
      <c r="X239" s="906" t="s">
        <v>2</v>
      </c>
      <c r="Y239" s="2089">
        <f>W239*5360*0.7</f>
        <v>0</v>
      </c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3" t="s">
        <v>1278</v>
      </c>
    </row>
    <row r="240" spans="1:44" s="116" customFormat="1" ht="38.65" hidden="1" customHeight="1" x14ac:dyDescent="0.2">
      <c r="A240" s="1241"/>
      <c r="B240" s="1375"/>
      <c r="C240" s="1390"/>
      <c r="D240" s="1375"/>
      <c r="E240" s="1471"/>
      <c r="F240" s="1375"/>
      <c r="G240" s="1271"/>
      <c r="H240" s="906"/>
      <c r="I240" s="906"/>
      <c r="J240" s="906"/>
      <c r="K240" s="906"/>
      <c r="L240" s="906"/>
      <c r="M240" s="906"/>
      <c r="N240" s="906"/>
      <c r="O240" s="906"/>
      <c r="P240" s="906"/>
      <c r="Q240" s="906"/>
      <c r="R240" s="906"/>
      <c r="S240" s="897"/>
      <c r="T240" s="2092"/>
      <c r="U240" s="1375"/>
      <c r="V240" s="1375"/>
      <c r="W240" s="892"/>
      <c r="X240" s="906" t="s">
        <v>4</v>
      </c>
      <c r="Y240" s="2090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3"/>
    </row>
    <row r="241" spans="1:44" s="116" customFormat="1" ht="38.65" hidden="1" customHeight="1" x14ac:dyDescent="0.2">
      <c r="A241" s="1598">
        <f t="shared" si="7"/>
        <v>64</v>
      </c>
      <c r="B241" s="1374" t="s">
        <v>341</v>
      </c>
      <c r="C241" s="1389" t="s">
        <v>195</v>
      </c>
      <c r="D241" s="1374">
        <v>0.185</v>
      </c>
      <c r="E241" s="1470">
        <v>1369</v>
      </c>
      <c r="F241" s="1374">
        <v>0.185</v>
      </c>
      <c r="G241" s="1558">
        <v>1369</v>
      </c>
      <c r="H241" s="906"/>
      <c r="I241" s="906"/>
      <c r="J241" s="906"/>
      <c r="K241" s="906"/>
      <c r="L241" s="906"/>
      <c r="M241" s="906"/>
      <c r="N241" s="906"/>
      <c r="O241" s="906"/>
      <c r="P241" s="906"/>
      <c r="Q241" s="906"/>
      <c r="R241" s="906"/>
      <c r="S241" s="897"/>
      <c r="T241" s="2091" t="s">
        <v>441</v>
      </c>
      <c r="U241" s="1374" t="s">
        <v>1280</v>
      </c>
      <c r="V241" s="1374" t="s">
        <v>5</v>
      </c>
      <c r="W241" s="906"/>
      <c r="X241" s="906" t="s">
        <v>2</v>
      </c>
      <c r="Y241" s="2089">
        <f>W241*5360*0.7</f>
        <v>0</v>
      </c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3" t="s">
        <v>1279</v>
      </c>
    </row>
    <row r="242" spans="1:44" s="116" customFormat="1" ht="38.65" hidden="1" customHeight="1" x14ac:dyDescent="0.2">
      <c r="A242" s="1241"/>
      <c r="B242" s="1375"/>
      <c r="C242" s="1390"/>
      <c r="D242" s="1375"/>
      <c r="E242" s="1471"/>
      <c r="F242" s="1375"/>
      <c r="G242" s="1271"/>
      <c r="H242" s="906"/>
      <c r="I242" s="906"/>
      <c r="J242" s="906"/>
      <c r="K242" s="906"/>
      <c r="L242" s="906"/>
      <c r="M242" s="906"/>
      <c r="N242" s="906"/>
      <c r="O242" s="906"/>
      <c r="P242" s="906"/>
      <c r="Q242" s="906"/>
      <c r="R242" s="906"/>
      <c r="S242" s="897"/>
      <c r="T242" s="2092"/>
      <c r="U242" s="1375"/>
      <c r="V242" s="1375"/>
      <c r="W242" s="892"/>
      <c r="X242" s="906" t="s">
        <v>4</v>
      </c>
      <c r="Y242" s="2090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3"/>
    </row>
    <row r="243" spans="1:44" s="116" customFormat="1" ht="41.85" hidden="1" customHeight="1" x14ac:dyDescent="0.2">
      <c r="A243" s="1598">
        <f t="shared" si="7"/>
        <v>65</v>
      </c>
      <c r="B243" s="1285" t="s">
        <v>389</v>
      </c>
      <c r="C243" s="1343" t="s">
        <v>249</v>
      </c>
      <c r="D243" s="1817">
        <v>2.7919999999999998</v>
      </c>
      <c r="E243" s="1470">
        <f>D243*6000</f>
        <v>16752</v>
      </c>
      <c r="F243" s="1817">
        <v>2.7919999999999998</v>
      </c>
      <c r="G243" s="1558">
        <f>F243*6000</f>
        <v>16752</v>
      </c>
      <c r="H243" s="906"/>
      <c r="I243" s="906"/>
      <c r="J243" s="906"/>
      <c r="K243" s="906"/>
      <c r="L243" s="906"/>
      <c r="M243" s="906"/>
      <c r="N243" s="906"/>
      <c r="O243" s="906"/>
      <c r="P243" s="906"/>
      <c r="Q243" s="906"/>
      <c r="R243" s="906"/>
      <c r="S243" s="897"/>
      <c r="T243" s="2091" t="s">
        <v>441</v>
      </c>
      <c r="U243" s="1374" t="s">
        <v>1282</v>
      </c>
      <c r="V243" s="1374" t="s">
        <v>5</v>
      </c>
      <c r="W243" s="906"/>
      <c r="X243" s="906" t="s">
        <v>2</v>
      </c>
      <c r="Y243" s="2089">
        <f>W243*5360*0.67</f>
        <v>0</v>
      </c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3" t="s">
        <v>1281</v>
      </c>
    </row>
    <row r="244" spans="1:44" s="116" customFormat="1" ht="41.85" hidden="1" customHeight="1" x14ac:dyDescent="0.2">
      <c r="A244" s="1241"/>
      <c r="B244" s="1213"/>
      <c r="C244" s="1273"/>
      <c r="D244" s="1818"/>
      <c r="E244" s="1471"/>
      <c r="F244" s="1818"/>
      <c r="G244" s="1271"/>
      <c r="H244" s="906"/>
      <c r="I244" s="906"/>
      <c r="J244" s="906"/>
      <c r="K244" s="906"/>
      <c r="L244" s="906"/>
      <c r="M244" s="906"/>
      <c r="N244" s="906"/>
      <c r="O244" s="906"/>
      <c r="P244" s="906"/>
      <c r="Q244" s="906"/>
      <c r="R244" s="906"/>
      <c r="S244" s="897"/>
      <c r="T244" s="2092"/>
      <c r="U244" s="1375"/>
      <c r="V244" s="1375"/>
      <c r="W244" s="892">
        <f>W243*6000</f>
        <v>0</v>
      </c>
      <c r="X244" s="906" t="s">
        <v>4</v>
      </c>
      <c r="Y244" s="2090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3"/>
    </row>
    <row r="245" spans="1:44" s="116" customFormat="1" ht="76.5" hidden="1" customHeight="1" x14ac:dyDescent="0.2">
      <c r="A245" s="1598">
        <f t="shared" si="7"/>
        <v>66</v>
      </c>
      <c r="B245" s="1285">
        <v>3413613</v>
      </c>
      <c r="C245" s="1343" t="s">
        <v>237</v>
      </c>
      <c r="D245" s="1374">
        <v>5.12</v>
      </c>
      <c r="E245" s="1470">
        <f>D245*6000</f>
        <v>30720</v>
      </c>
      <c r="F245" s="1374">
        <v>5.12</v>
      </c>
      <c r="G245" s="1558">
        <f>F245*6000</f>
        <v>30720</v>
      </c>
      <c r="H245" s="906"/>
      <c r="I245" s="906"/>
      <c r="J245" s="906"/>
      <c r="K245" s="906"/>
      <c r="L245" s="906"/>
      <c r="M245" s="906"/>
      <c r="N245" s="906"/>
      <c r="O245" s="906"/>
      <c r="P245" s="906"/>
      <c r="Q245" s="906"/>
      <c r="R245" s="906"/>
      <c r="S245" s="897"/>
      <c r="T245" s="2091" t="s">
        <v>441</v>
      </c>
      <c r="U245" s="1374" t="s">
        <v>1350</v>
      </c>
      <c r="V245" s="1374" t="s">
        <v>5</v>
      </c>
      <c r="W245" s="906"/>
      <c r="X245" s="906" t="s">
        <v>2</v>
      </c>
      <c r="Y245" s="2089">
        <f>W245*5360*0.67</f>
        <v>0</v>
      </c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3" t="s">
        <v>1349</v>
      </c>
    </row>
    <row r="246" spans="1:44" s="116" customFormat="1" ht="59.1" hidden="1" customHeight="1" x14ac:dyDescent="0.2">
      <c r="A246" s="1241"/>
      <c r="B246" s="1213"/>
      <c r="C246" s="1273"/>
      <c r="D246" s="1375"/>
      <c r="E246" s="1471"/>
      <c r="F246" s="1375"/>
      <c r="G246" s="1271"/>
      <c r="H246" s="906"/>
      <c r="I246" s="906"/>
      <c r="J246" s="906"/>
      <c r="K246" s="906"/>
      <c r="L246" s="906"/>
      <c r="M246" s="906"/>
      <c r="N246" s="906"/>
      <c r="O246" s="906"/>
      <c r="P246" s="906"/>
      <c r="Q246" s="906"/>
      <c r="R246" s="906"/>
      <c r="S246" s="897"/>
      <c r="T246" s="2092"/>
      <c r="U246" s="1375"/>
      <c r="V246" s="1375"/>
      <c r="W246" s="892">
        <f>W245*6000</f>
        <v>0</v>
      </c>
      <c r="X246" s="906" t="s">
        <v>4</v>
      </c>
      <c r="Y246" s="2090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3"/>
    </row>
    <row r="247" spans="1:44" s="116" customFormat="1" ht="32.1" hidden="1" customHeight="1" x14ac:dyDescent="0.2">
      <c r="A247" s="1598">
        <f t="shared" si="7"/>
        <v>67</v>
      </c>
      <c r="B247" s="1374" t="s">
        <v>343</v>
      </c>
      <c r="C247" s="1389" t="s">
        <v>197</v>
      </c>
      <c r="D247" s="1374">
        <v>0.57999999999999996</v>
      </c>
      <c r="E247" s="1470">
        <v>3501</v>
      </c>
      <c r="F247" s="1374">
        <v>0.57999999999999996</v>
      </c>
      <c r="G247" s="1558">
        <v>3501</v>
      </c>
      <c r="H247" s="906"/>
      <c r="I247" s="906"/>
      <c r="J247" s="906"/>
      <c r="K247" s="906"/>
      <c r="L247" s="906"/>
      <c r="M247" s="906"/>
      <c r="N247" s="906"/>
      <c r="O247" s="906"/>
      <c r="P247" s="906"/>
      <c r="Q247" s="906"/>
      <c r="R247" s="906"/>
      <c r="S247" s="897"/>
      <c r="T247" s="2091" t="s">
        <v>441</v>
      </c>
      <c r="U247" s="1374" t="s">
        <v>1284</v>
      </c>
      <c r="V247" s="1374" t="s">
        <v>5</v>
      </c>
      <c r="W247" s="906"/>
      <c r="X247" s="906" t="s">
        <v>2</v>
      </c>
      <c r="Y247" s="2089">
        <f>W247*5360*0.7</f>
        <v>0</v>
      </c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  <c r="AP247" s="123"/>
      <c r="AQ247" s="123"/>
      <c r="AR247" s="1233" t="s">
        <v>1283</v>
      </c>
    </row>
    <row r="248" spans="1:44" s="116" customFormat="1" ht="36.6" hidden="1" customHeight="1" x14ac:dyDescent="0.2">
      <c r="A248" s="1241"/>
      <c r="B248" s="1375"/>
      <c r="C248" s="1390"/>
      <c r="D248" s="1375"/>
      <c r="E248" s="1471"/>
      <c r="F248" s="1375"/>
      <c r="G248" s="1271"/>
      <c r="H248" s="906"/>
      <c r="I248" s="906"/>
      <c r="J248" s="906"/>
      <c r="K248" s="906"/>
      <c r="L248" s="906"/>
      <c r="M248" s="906"/>
      <c r="N248" s="906"/>
      <c r="O248" s="906"/>
      <c r="P248" s="906"/>
      <c r="Q248" s="906"/>
      <c r="R248" s="906"/>
      <c r="S248" s="897"/>
      <c r="T248" s="2092"/>
      <c r="U248" s="1375"/>
      <c r="V248" s="1375"/>
      <c r="W248" s="892"/>
      <c r="X248" s="906" t="s">
        <v>4</v>
      </c>
      <c r="Y248" s="2090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  <c r="AP248" s="123"/>
      <c r="AQ248" s="123"/>
      <c r="AR248" s="1233"/>
    </row>
    <row r="249" spans="1:44" s="116" customFormat="1" ht="32.1" hidden="1" customHeight="1" x14ac:dyDescent="0.2">
      <c r="A249" s="1598">
        <f t="shared" si="7"/>
        <v>68</v>
      </c>
      <c r="B249" s="1374" t="s">
        <v>344</v>
      </c>
      <c r="C249" s="1389" t="s">
        <v>198</v>
      </c>
      <c r="D249" s="1374">
        <v>0.65500000000000003</v>
      </c>
      <c r="E249" s="1470">
        <v>4296</v>
      </c>
      <c r="F249" s="1374">
        <v>0.65500000000000003</v>
      </c>
      <c r="G249" s="1558">
        <v>4296</v>
      </c>
      <c r="H249" s="906"/>
      <c r="I249" s="906"/>
      <c r="J249" s="906"/>
      <c r="K249" s="906"/>
      <c r="L249" s="906"/>
      <c r="M249" s="906"/>
      <c r="N249" s="906"/>
      <c r="O249" s="906"/>
      <c r="P249" s="906"/>
      <c r="Q249" s="906"/>
      <c r="R249" s="906"/>
      <c r="S249" s="897"/>
      <c r="T249" s="2091" t="s">
        <v>441</v>
      </c>
      <c r="U249" s="1374" t="s">
        <v>1285</v>
      </c>
      <c r="V249" s="1374" t="s">
        <v>5</v>
      </c>
      <c r="W249" s="906"/>
      <c r="X249" s="906" t="s">
        <v>2</v>
      </c>
      <c r="Y249" s="2089">
        <f>W249*5360*0.7</f>
        <v>0</v>
      </c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  <c r="AP249" s="123"/>
      <c r="AQ249" s="123"/>
      <c r="AR249" s="1233" t="s">
        <v>1234</v>
      </c>
    </row>
    <row r="250" spans="1:44" s="116" customFormat="1" ht="43.15" hidden="1" customHeight="1" x14ac:dyDescent="0.2">
      <c r="A250" s="1241"/>
      <c r="B250" s="1375"/>
      <c r="C250" s="1390"/>
      <c r="D250" s="1375"/>
      <c r="E250" s="1471"/>
      <c r="F250" s="1375"/>
      <c r="G250" s="1271"/>
      <c r="H250" s="906"/>
      <c r="I250" s="906"/>
      <c r="J250" s="906"/>
      <c r="K250" s="906"/>
      <c r="L250" s="906"/>
      <c r="M250" s="906"/>
      <c r="N250" s="906"/>
      <c r="O250" s="906"/>
      <c r="P250" s="906"/>
      <c r="Q250" s="906"/>
      <c r="R250" s="906"/>
      <c r="S250" s="897"/>
      <c r="T250" s="2092"/>
      <c r="U250" s="1375"/>
      <c r="V250" s="1375"/>
      <c r="W250" s="892"/>
      <c r="X250" s="906" t="s">
        <v>4</v>
      </c>
      <c r="Y250" s="2090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  <c r="AP250" s="123"/>
      <c r="AQ250" s="123"/>
      <c r="AR250" s="1233"/>
    </row>
    <row r="251" spans="1:44" s="116" customFormat="1" ht="32.1" hidden="1" customHeight="1" x14ac:dyDescent="0.2">
      <c r="A251" s="1598">
        <f t="shared" ref="A251:A289" si="8">A249+1</f>
        <v>69</v>
      </c>
      <c r="B251" s="1374" t="s">
        <v>345</v>
      </c>
      <c r="C251" s="1389" t="s">
        <v>199</v>
      </c>
      <c r="D251" s="1374">
        <v>0.73899999999999999</v>
      </c>
      <c r="E251" s="1470">
        <v>5172</v>
      </c>
      <c r="F251" s="1374">
        <v>0.73899999999999999</v>
      </c>
      <c r="G251" s="1558">
        <v>5172</v>
      </c>
      <c r="H251" s="906"/>
      <c r="I251" s="906"/>
      <c r="J251" s="906"/>
      <c r="K251" s="906"/>
      <c r="L251" s="906"/>
      <c r="M251" s="906"/>
      <c r="N251" s="906"/>
      <c r="O251" s="906"/>
      <c r="P251" s="906"/>
      <c r="Q251" s="906"/>
      <c r="R251" s="906"/>
      <c r="S251" s="897"/>
      <c r="T251" s="1374" t="s">
        <v>441</v>
      </c>
      <c r="U251" s="1374" t="s">
        <v>1286</v>
      </c>
      <c r="V251" s="1374" t="s">
        <v>5</v>
      </c>
      <c r="W251" s="906"/>
      <c r="X251" s="906" t="s">
        <v>2</v>
      </c>
      <c r="Y251" s="2089">
        <f>W251*5360*0.7</f>
        <v>0</v>
      </c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  <c r="AP251" s="123"/>
      <c r="AQ251" s="123"/>
      <c r="AR251" s="1233" t="s">
        <v>1234</v>
      </c>
    </row>
    <row r="252" spans="1:44" s="116" customFormat="1" ht="36" hidden="1" customHeight="1" x14ac:dyDescent="0.2">
      <c r="A252" s="1241"/>
      <c r="B252" s="1375"/>
      <c r="C252" s="1390"/>
      <c r="D252" s="1375"/>
      <c r="E252" s="1471"/>
      <c r="F252" s="1375"/>
      <c r="G252" s="1271"/>
      <c r="H252" s="906"/>
      <c r="I252" s="906"/>
      <c r="J252" s="906"/>
      <c r="K252" s="906"/>
      <c r="L252" s="906"/>
      <c r="M252" s="906"/>
      <c r="N252" s="906"/>
      <c r="O252" s="906"/>
      <c r="P252" s="906"/>
      <c r="Q252" s="906"/>
      <c r="R252" s="906"/>
      <c r="S252" s="897"/>
      <c r="T252" s="1375"/>
      <c r="U252" s="1375"/>
      <c r="V252" s="1375"/>
      <c r="W252" s="892"/>
      <c r="X252" s="906" t="s">
        <v>4</v>
      </c>
      <c r="Y252" s="2090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  <c r="AP252" s="123"/>
      <c r="AQ252" s="123"/>
      <c r="AR252" s="1233"/>
    </row>
    <row r="253" spans="1:44" s="116" customFormat="1" ht="51.4" hidden="1" customHeight="1" x14ac:dyDescent="0.2">
      <c r="A253" s="1598">
        <f t="shared" si="8"/>
        <v>70</v>
      </c>
      <c r="B253" s="1374" t="s">
        <v>346</v>
      </c>
      <c r="C253" s="1389" t="s">
        <v>200</v>
      </c>
      <c r="D253" s="1374">
        <v>0.308</v>
      </c>
      <c r="E253" s="1470">
        <v>1180</v>
      </c>
      <c r="F253" s="1374">
        <v>0.308</v>
      </c>
      <c r="G253" s="1558">
        <v>1180</v>
      </c>
      <c r="H253" s="906"/>
      <c r="I253" s="906"/>
      <c r="J253" s="906"/>
      <c r="K253" s="906"/>
      <c r="L253" s="906"/>
      <c r="M253" s="906"/>
      <c r="N253" s="906"/>
      <c r="O253" s="906"/>
      <c r="P253" s="906"/>
      <c r="Q253" s="906"/>
      <c r="R253" s="906"/>
      <c r="S253" s="897"/>
      <c r="T253" s="1374" t="s">
        <v>441</v>
      </c>
      <c r="U253" s="1374" t="s">
        <v>1288</v>
      </c>
      <c r="V253" s="1374" t="s">
        <v>5</v>
      </c>
      <c r="W253" s="906"/>
      <c r="X253" s="906" t="s">
        <v>2</v>
      </c>
      <c r="Y253" s="2089">
        <f>W253*5360*0.7</f>
        <v>0</v>
      </c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  <c r="AP253" s="123"/>
      <c r="AQ253" s="123"/>
      <c r="AR253" s="1233" t="s">
        <v>1287</v>
      </c>
    </row>
    <row r="254" spans="1:44" s="116" customFormat="1" ht="36.6" hidden="1" customHeight="1" x14ac:dyDescent="0.2">
      <c r="A254" s="1241"/>
      <c r="B254" s="1375"/>
      <c r="C254" s="1390"/>
      <c r="D254" s="1375"/>
      <c r="E254" s="1471"/>
      <c r="F254" s="1375"/>
      <c r="G254" s="1271"/>
      <c r="H254" s="906"/>
      <c r="I254" s="906"/>
      <c r="J254" s="906"/>
      <c r="K254" s="906"/>
      <c r="L254" s="906"/>
      <c r="M254" s="906"/>
      <c r="N254" s="906"/>
      <c r="O254" s="906"/>
      <c r="P254" s="906"/>
      <c r="Q254" s="906"/>
      <c r="R254" s="906"/>
      <c r="S254" s="897"/>
      <c r="T254" s="1375"/>
      <c r="U254" s="1375"/>
      <c r="V254" s="1375"/>
      <c r="W254" s="892"/>
      <c r="X254" s="906" t="s">
        <v>4</v>
      </c>
      <c r="Y254" s="2090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  <c r="AP254" s="123"/>
      <c r="AQ254" s="123"/>
      <c r="AR254" s="1233"/>
    </row>
    <row r="255" spans="1:44" s="116" customFormat="1" ht="32.1" hidden="1" customHeight="1" x14ac:dyDescent="0.2">
      <c r="A255" s="1598">
        <f t="shared" si="8"/>
        <v>71</v>
      </c>
      <c r="B255" s="1374" t="s">
        <v>348</v>
      </c>
      <c r="C255" s="1389" t="s">
        <v>202</v>
      </c>
      <c r="D255" s="1374">
        <v>0.9</v>
      </c>
      <c r="E255" s="1470">
        <v>4530</v>
      </c>
      <c r="F255" s="1374">
        <v>0.9</v>
      </c>
      <c r="G255" s="1558">
        <v>4530</v>
      </c>
      <c r="H255" s="906"/>
      <c r="I255" s="906"/>
      <c r="J255" s="906"/>
      <c r="K255" s="906"/>
      <c r="L255" s="906"/>
      <c r="M255" s="906"/>
      <c r="N255" s="906"/>
      <c r="O255" s="906"/>
      <c r="P255" s="906"/>
      <c r="Q255" s="906"/>
      <c r="R255" s="906"/>
      <c r="S255" s="897"/>
      <c r="T255" s="1374" t="s">
        <v>441</v>
      </c>
      <c r="U255" s="1374" t="s">
        <v>528</v>
      </c>
      <c r="V255" s="1374" t="s">
        <v>5</v>
      </c>
      <c r="W255" s="906"/>
      <c r="X255" s="906" t="s">
        <v>2</v>
      </c>
      <c r="Y255" s="2089">
        <f>W255*5360*0.7</f>
        <v>0</v>
      </c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  <c r="AP255" s="123"/>
      <c r="AQ255" s="123"/>
      <c r="AR255" s="1233" t="s">
        <v>1289</v>
      </c>
    </row>
    <row r="256" spans="1:44" s="116" customFormat="1" ht="45" hidden="1" customHeight="1" x14ac:dyDescent="0.2">
      <c r="A256" s="1241"/>
      <c r="B256" s="1375"/>
      <c r="C256" s="1390"/>
      <c r="D256" s="1375"/>
      <c r="E256" s="1471"/>
      <c r="F256" s="1375"/>
      <c r="G256" s="1271"/>
      <c r="H256" s="906"/>
      <c r="I256" s="906"/>
      <c r="J256" s="906"/>
      <c r="K256" s="906"/>
      <c r="L256" s="906"/>
      <c r="M256" s="906"/>
      <c r="N256" s="906"/>
      <c r="O256" s="906"/>
      <c r="P256" s="906"/>
      <c r="Q256" s="906"/>
      <c r="R256" s="906"/>
      <c r="S256" s="897"/>
      <c r="T256" s="1375"/>
      <c r="U256" s="1375"/>
      <c r="V256" s="1375"/>
      <c r="W256" s="892"/>
      <c r="X256" s="906" t="s">
        <v>4</v>
      </c>
      <c r="Y256" s="2090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3"/>
    </row>
    <row r="257" spans="1:44" s="116" customFormat="1" ht="43.15" hidden="1" customHeight="1" x14ac:dyDescent="0.2">
      <c r="A257" s="1598">
        <f t="shared" si="8"/>
        <v>72</v>
      </c>
      <c r="B257" s="1374" t="s">
        <v>349</v>
      </c>
      <c r="C257" s="1389" t="s">
        <v>203</v>
      </c>
      <c r="D257" s="1374">
        <v>0.70599999999999996</v>
      </c>
      <c r="E257" s="1470">
        <v>5840</v>
      </c>
      <c r="F257" s="1374">
        <v>0.70599999999999996</v>
      </c>
      <c r="G257" s="1558">
        <v>5840</v>
      </c>
      <c r="H257" s="906"/>
      <c r="I257" s="906"/>
      <c r="J257" s="906"/>
      <c r="K257" s="906"/>
      <c r="L257" s="906"/>
      <c r="M257" s="906"/>
      <c r="N257" s="906"/>
      <c r="O257" s="906"/>
      <c r="P257" s="906"/>
      <c r="Q257" s="906"/>
      <c r="R257" s="906"/>
      <c r="S257" s="897"/>
      <c r="T257" s="1374" t="s">
        <v>441</v>
      </c>
      <c r="U257" s="1374" t="s">
        <v>1291</v>
      </c>
      <c r="V257" s="1374" t="s">
        <v>5</v>
      </c>
      <c r="W257" s="906"/>
      <c r="X257" s="906" t="s">
        <v>2</v>
      </c>
      <c r="Y257" s="2089">
        <f>W257*5360*0.7</f>
        <v>0</v>
      </c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  <c r="AP257" s="123"/>
      <c r="AQ257" s="123"/>
      <c r="AR257" s="1233" t="s">
        <v>1290</v>
      </c>
    </row>
    <row r="258" spans="1:44" s="116" customFormat="1" ht="40.15" hidden="1" customHeight="1" x14ac:dyDescent="0.2">
      <c r="A258" s="1241"/>
      <c r="B258" s="1375"/>
      <c r="C258" s="1390"/>
      <c r="D258" s="1375"/>
      <c r="E258" s="1471"/>
      <c r="F258" s="1375"/>
      <c r="G258" s="1271"/>
      <c r="H258" s="906"/>
      <c r="I258" s="906"/>
      <c r="J258" s="906"/>
      <c r="K258" s="906"/>
      <c r="L258" s="906"/>
      <c r="M258" s="906"/>
      <c r="N258" s="906"/>
      <c r="O258" s="906"/>
      <c r="P258" s="906"/>
      <c r="Q258" s="906"/>
      <c r="R258" s="906"/>
      <c r="S258" s="906"/>
      <c r="T258" s="1375"/>
      <c r="U258" s="1375"/>
      <c r="V258" s="1375"/>
      <c r="W258" s="892"/>
      <c r="X258" s="906" t="s">
        <v>4</v>
      </c>
      <c r="Y258" s="2090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  <c r="AP258" s="123"/>
      <c r="AQ258" s="123"/>
      <c r="AR258" s="1233"/>
    </row>
    <row r="259" spans="1:44" s="116" customFormat="1" ht="64.349999999999994" hidden="1" customHeight="1" x14ac:dyDescent="0.2">
      <c r="A259" s="1598">
        <f t="shared" si="8"/>
        <v>73</v>
      </c>
      <c r="B259" s="1374" t="s">
        <v>350</v>
      </c>
      <c r="C259" s="1389" t="s">
        <v>204</v>
      </c>
      <c r="D259" s="1374">
        <v>0.42799999999999999</v>
      </c>
      <c r="E259" s="1470">
        <v>3716</v>
      </c>
      <c r="F259" s="1374">
        <v>0.42799999999999999</v>
      </c>
      <c r="G259" s="1558">
        <v>3716</v>
      </c>
      <c r="H259" s="906"/>
      <c r="I259" s="906"/>
      <c r="J259" s="906"/>
      <c r="K259" s="906"/>
      <c r="L259" s="906"/>
      <c r="M259" s="906"/>
      <c r="N259" s="906"/>
      <c r="O259" s="906"/>
      <c r="P259" s="906"/>
      <c r="Q259" s="906"/>
      <c r="R259" s="906"/>
      <c r="S259" s="906"/>
      <c r="T259" s="1374" t="s">
        <v>441</v>
      </c>
      <c r="U259" s="1374" t="s">
        <v>1293</v>
      </c>
      <c r="V259" s="1374" t="s">
        <v>5</v>
      </c>
      <c r="W259" s="906"/>
      <c r="X259" s="906" t="s">
        <v>2</v>
      </c>
      <c r="Y259" s="2089">
        <f>W259*5360*0.7</f>
        <v>0</v>
      </c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  <c r="AP259" s="123"/>
      <c r="AQ259" s="123"/>
      <c r="AR259" s="1233" t="s">
        <v>1292</v>
      </c>
    </row>
    <row r="260" spans="1:44" s="116" customFormat="1" ht="51.4" hidden="1" customHeight="1" x14ac:dyDescent="0.2">
      <c r="A260" s="1241"/>
      <c r="B260" s="1375"/>
      <c r="C260" s="1390"/>
      <c r="D260" s="1375"/>
      <c r="E260" s="1471"/>
      <c r="F260" s="1375"/>
      <c r="G260" s="1271"/>
      <c r="H260" s="906"/>
      <c r="I260" s="906"/>
      <c r="J260" s="906"/>
      <c r="K260" s="906"/>
      <c r="L260" s="906"/>
      <c r="M260" s="906"/>
      <c r="N260" s="906"/>
      <c r="O260" s="906"/>
      <c r="P260" s="906"/>
      <c r="Q260" s="906"/>
      <c r="R260" s="906"/>
      <c r="S260" s="906"/>
      <c r="T260" s="1375"/>
      <c r="U260" s="1375"/>
      <c r="V260" s="1375"/>
      <c r="W260" s="892"/>
      <c r="X260" s="906" t="s">
        <v>4</v>
      </c>
      <c r="Y260" s="2090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123"/>
      <c r="AR260" s="1233"/>
    </row>
    <row r="261" spans="1:44" s="116" customFormat="1" ht="48.2" hidden="1" customHeight="1" x14ac:dyDescent="0.2">
      <c r="A261" s="1598">
        <f t="shared" si="8"/>
        <v>74</v>
      </c>
      <c r="B261" s="1374" t="s">
        <v>351</v>
      </c>
      <c r="C261" s="1389" t="s">
        <v>205</v>
      </c>
      <c r="D261" s="1374">
        <v>1.3620000000000001</v>
      </c>
      <c r="E261" s="1470">
        <v>7482</v>
      </c>
      <c r="F261" s="1374">
        <v>1.3620000000000001</v>
      </c>
      <c r="G261" s="1558">
        <v>7482</v>
      </c>
      <c r="H261" s="906"/>
      <c r="I261" s="906"/>
      <c r="J261" s="906"/>
      <c r="K261" s="906"/>
      <c r="L261" s="906"/>
      <c r="M261" s="906"/>
      <c r="N261" s="906"/>
      <c r="O261" s="906"/>
      <c r="P261" s="906"/>
      <c r="Q261" s="906"/>
      <c r="R261" s="906"/>
      <c r="S261" s="906"/>
      <c r="T261" s="1374" t="s">
        <v>441</v>
      </c>
      <c r="U261" s="1374" t="s">
        <v>1295</v>
      </c>
      <c r="V261" s="1374" t="s">
        <v>5</v>
      </c>
      <c r="W261" s="906"/>
      <c r="X261" s="906" t="s">
        <v>2</v>
      </c>
      <c r="Y261" s="2089">
        <f>W261*5360*0.7</f>
        <v>0</v>
      </c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  <c r="AP261" s="123"/>
      <c r="AQ261" s="123"/>
      <c r="AR261" s="1233" t="s">
        <v>1294</v>
      </c>
    </row>
    <row r="262" spans="1:44" s="116" customFormat="1" ht="15.75" hidden="1" x14ac:dyDescent="0.2">
      <c r="A262" s="1241"/>
      <c r="B262" s="1375"/>
      <c r="C262" s="1390"/>
      <c r="D262" s="1375"/>
      <c r="E262" s="1471"/>
      <c r="F262" s="1375"/>
      <c r="G262" s="1271"/>
      <c r="H262" s="906"/>
      <c r="I262" s="906"/>
      <c r="J262" s="906"/>
      <c r="K262" s="906"/>
      <c r="L262" s="906"/>
      <c r="M262" s="906"/>
      <c r="N262" s="906"/>
      <c r="O262" s="906"/>
      <c r="P262" s="906"/>
      <c r="Q262" s="906"/>
      <c r="R262" s="906"/>
      <c r="S262" s="906"/>
      <c r="T262" s="1375"/>
      <c r="U262" s="1375"/>
      <c r="V262" s="1375"/>
      <c r="W262" s="892"/>
      <c r="X262" s="906" t="s">
        <v>4</v>
      </c>
      <c r="Y262" s="2090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  <c r="AP262" s="123"/>
      <c r="AQ262" s="123"/>
      <c r="AR262" s="1233"/>
    </row>
    <row r="263" spans="1:44" s="116" customFormat="1" ht="32.1" hidden="1" customHeight="1" x14ac:dyDescent="0.2">
      <c r="A263" s="1598">
        <f t="shared" si="8"/>
        <v>75</v>
      </c>
      <c r="B263" s="1374" t="s">
        <v>352</v>
      </c>
      <c r="C263" s="1389" t="s">
        <v>206</v>
      </c>
      <c r="D263" s="1374">
        <v>0.25900000000000001</v>
      </c>
      <c r="E263" s="1470">
        <v>1292</v>
      </c>
      <c r="F263" s="1374">
        <v>0.25900000000000001</v>
      </c>
      <c r="G263" s="1558">
        <v>1292</v>
      </c>
      <c r="H263" s="906"/>
      <c r="I263" s="906"/>
      <c r="J263" s="906"/>
      <c r="K263" s="906"/>
      <c r="L263" s="906"/>
      <c r="M263" s="906"/>
      <c r="N263" s="906"/>
      <c r="O263" s="906"/>
      <c r="P263" s="906"/>
      <c r="Q263" s="906"/>
      <c r="R263" s="906"/>
      <c r="S263" s="906"/>
      <c r="T263" s="1374" t="s">
        <v>441</v>
      </c>
      <c r="U263" s="1374" t="s">
        <v>1297</v>
      </c>
      <c r="V263" s="1374" t="s">
        <v>5</v>
      </c>
      <c r="W263" s="906"/>
      <c r="X263" s="906" t="s">
        <v>2</v>
      </c>
      <c r="Y263" s="2089">
        <f>W263*5360*0.7</f>
        <v>0</v>
      </c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3" t="s">
        <v>1296</v>
      </c>
    </row>
    <row r="264" spans="1:44" s="116" customFormat="1" ht="37.9" hidden="1" customHeight="1" x14ac:dyDescent="0.2">
      <c r="A264" s="1241"/>
      <c r="B264" s="1375"/>
      <c r="C264" s="1390"/>
      <c r="D264" s="1375"/>
      <c r="E264" s="1471"/>
      <c r="F264" s="1375"/>
      <c r="G264" s="1271"/>
      <c r="H264" s="906"/>
      <c r="I264" s="906"/>
      <c r="J264" s="906"/>
      <c r="K264" s="906"/>
      <c r="L264" s="906"/>
      <c r="M264" s="906"/>
      <c r="N264" s="906"/>
      <c r="O264" s="906"/>
      <c r="P264" s="906"/>
      <c r="Q264" s="906"/>
      <c r="R264" s="906"/>
      <c r="S264" s="906"/>
      <c r="T264" s="1375"/>
      <c r="U264" s="1375"/>
      <c r="V264" s="1375"/>
      <c r="W264" s="892"/>
      <c r="X264" s="906" t="s">
        <v>4</v>
      </c>
      <c r="Y264" s="2090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3"/>
    </row>
    <row r="265" spans="1:44" s="116" customFormat="1" ht="45" hidden="1" customHeight="1" x14ac:dyDescent="0.2">
      <c r="A265" s="1598">
        <f t="shared" si="8"/>
        <v>76</v>
      </c>
      <c r="B265" s="1374" t="s">
        <v>406</v>
      </c>
      <c r="C265" s="1389" t="s">
        <v>207</v>
      </c>
      <c r="D265" s="1374">
        <v>0.39</v>
      </c>
      <c r="E265" s="1470">
        <v>2135</v>
      </c>
      <c r="F265" s="1374">
        <v>0.39</v>
      </c>
      <c r="G265" s="1558">
        <v>2135</v>
      </c>
      <c r="H265" s="906"/>
      <c r="I265" s="906"/>
      <c r="J265" s="906"/>
      <c r="K265" s="906"/>
      <c r="L265" s="906"/>
      <c r="M265" s="906"/>
      <c r="N265" s="906"/>
      <c r="O265" s="906"/>
      <c r="P265" s="906"/>
      <c r="Q265" s="906"/>
      <c r="R265" s="906"/>
      <c r="S265" s="906"/>
      <c r="T265" s="1374" t="s">
        <v>441</v>
      </c>
      <c r="U265" s="1374" t="s">
        <v>1299</v>
      </c>
      <c r="V265" s="1374" t="s">
        <v>5</v>
      </c>
      <c r="W265" s="906"/>
      <c r="X265" s="906" t="s">
        <v>2</v>
      </c>
      <c r="Y265" s="2089">
        <f>W265*5360*0.7</f>
        <v>0</v>
      </c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3" t="s">
        <v>1298</v>
      </c>
    </row>
    <row r="266" spans="1:44" s="116" customFormat="1" ht="25.7" hidden="1" customHeight="1" x14ac:dyDescent="0.2">
      <c r="A266" s="1241"/>
      <c r="B266" s="1375"/>
      <c r="C266" s="1390"/>
      <c r="D266" s="1375"/>
      <c r="E266" s="1471"/>
      <c r="F266" s="1375"/>
      <c r="G266" s="1271"/>
      <c r="H266" s="906"/>
      <c r="I266" s="906"/>
      <c r="J266" s="906"/>
      <c r="K266" s="906"/>
      <c r="L266" s="906"/>
      <c r="M266" s="906"/>
      <c r="N266" s="906"/>
      <c r="O266" s="906"/>
      <c r="P266" s="906"/>
      <c r="Q266" s="906"/>
      <c r="R266" s="906"/>
      <c r="S266" s="906"/>
      <c r="T266" s="1375"/>
      <c r="U266" s="1375"/>
      <c r="V266" s="1375"/>
      <c r="W266" s="892"/>
      <c r="X266" s="906" t="s">
        <v>4</v>
      </c>
      <c r="Y266" s="2090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3"/>
    </row>
    <row r="267" spans="1:44" s="116" customFormat="1" ht="35.65" hidden="1" customHeight="1" x14ac:dyDescent="0.2">
      <c r="A267" s="1598">
        <f t="shared" si="8"/>
        <v>77</v>
      </c>
      <c r="B267" s="1374" t="s">
        <v>407</v>
      </c>
      <c r="C267" s="1389" t="s">
        <v>208</v>
      </c>
      <c r="D267" s="1374">
        <v>0.61799999999999999</v>
      </c>
      <c r="E267" s="1470">
        <v>3753</v>
      </c>
      <c r="F267" s="1374">
        <v>0.61799999999999999</v>
      </c>
      <c r="G267" s="1558">
        <v>3753</v>
      </c>
      <c r="H267" s="906"/>
      <c r="I267" s="906"/>
      <c r="J267" s="906"/>
      <c r="K267" s="906"/>
      <c r="L267" s="906"/>
      <c r="M267" s="906"/>
      <c r="N267" s="906"/>
      <c r="O267" s="906"/>
      <c r="P267" s="906"/>
      <c r="Q267" s="906"/>
      <c r="R267" s="906"/>
      <c r="S267" s="906"/>
      <c r="T267" s="1374" t="s">
        <v>441</v>
      </c>
      <c r="U267" s="1374" t="s">
        <v>1301</v>
      </c>
      <c r="V267" s="1374" t="s">
        <v>5</v>
      </c>
      <c r="W267" s="906"/>
      <c r="X267" s="906" t="s">
        <v>2</v>
      </c>
      <c r="Y267" s="2089">
        <f>W267*5360*0.7</f>
        <v>0</v>
      </c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3" t="s">
        <v>1300</v>
      </c>
    </row>
    <row r="268" spans="1:44" s="116" customFormat="1" ht="41.1" hidden="1" customHeight="1" x14ac:dyDescent="0.2">
      <c r="A268" s="1241"/>
      <c r="B268" s="1375"/>
      <c r="C268" s="1390"/>
      <c r="D268" s="1375"/>
      <c r="E268" s="1471"/>
      <c r="F268" s="1375"/>
      <c r="G268" s="1271"/>
      <c r="H268" s="906"/>
      <c r="I268" s="906"/>
      <c r="J268" s="906"/>
      <c r="K268" s="906"/>
      <c r="L268" s="906"/>
      <c r="M268" s="906"/>
      <c r="N268" s="906"/>
      <c r="O268" s="906"/>
      <c r="P268" s="906"/>
      <c r="Q268" s="906"/>
      <c r="R268" s="906"/>
      <c r="S268" s="906"/>
      <c r="T268" s="1375"/>
      <c r="U268" s="1375"/>
      <c r="V268" s="1375"/>
      <c r="W268" s="892"/>
      <c r="X268" s="906" t="s">
        <v>4</v>
      </c>
      <c r="Y268" s="2090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3"/>
    </row>
    <row r="269" spans="1:44" s="116" customFormat="1" ht="36.6" hidden="1" customHeight="1" x14ac:dyDescent="0.2">
      <c r="A269" s="1598">
        <f t="shared" si="8"/>
        <v>78</v>
      </c>
      <c r="B269" s="1374" t="s">
        <v>353</v>
      </c>
      <c r="C269" s="1389" t="s">
        <v>209</v>
      </c>
      <c r="D269" s="1374">
        <v>0.40799999999999997</v>
      </c>
      <c r="E269" s="1470">
        <v>2658</v>
      </c>
      <c r="F269" s="1374">
        <v>0.40799999999999997</v>
      </c>
      <c r="G269" s="1558">
        <v>2658</v>
      </c>
      <c r="H269" s="906"/>
      <c r="I269" s="906"/>
      <c r="J269" s="906"/>
      <c r="K269" s="906"/>
      <c r="L269" s="906"/>
      <c r="M269" s="906"/>
      <c r="N269" s="906"/>
      <c r="O269" s="906"/>
      <c r="P269" s="906"/>
      <c r="Q269" s="906"/>
      <c r="R269" s="906"/>
      <c r="S269" s="906"/>
      <c r="T269" s="1374" t="s">
        <v>441</v>
      </c>
      <c r="U269" s="1374" t="s">
        <v>1303</v>
      </c>
      <c r="V269" s="1374" t="s">
        <v>5</v>
      </c>
      <c r="W269" s="906"/>
      <c r="X269" s="906" t="s">
        <v>2</v>
      </c>
      <c r="Y269" s="2089">
        <f>W269*5360*0.7</f>
        <v>0</v>
      </c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3" t="s">
        <v>1302</v>
      </c>
    </row>
    <row r="270" spans="1:44" s="116" customFormat="1" ht="33.4" hidden="1" customHeight="1" x14ac:dyDescent="0.2">
      <c r="A270" s="1241"/>
      <c r="B270" s="1375"/>
      <c r="C270" s="1390"/>
      <c r="D270" s="1375"/>
      <c r="E270" s="1471"/>
      <c r="F270" s="1375"/>
      <c r="G270" s="1271"/>
      <c r="H270" s="906"/>
      <c r="I270" s="906"/>
      <c r="J270" s="906"/>
      <c r="K270" s="906"/>
      <c r="L270" s="906"/>
      <c r="M270" s="906"/>
      <c r="N270" s="906"/>
      <c r="O270" s="906"/>
      <c r="P270" s="906"/>
      <c r="Q270" s="906"/>
      <c r="R270" s="906"/>
      <c r="S270" s="906"/>
      <c r="T270" s="1375"/>
      <c r="U270" s="1375"/>
      <c r="V270" s="1375"/>
      <c r="W270" s="892"/>
      <c r="X270" s="906" t="s">
        <v>4</v>
      </c>
      <c r="Y270" s="2090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3"/>
    </row>
    <row r="271" spans="1:44" s="116" customFormat="1" ht="36" hidden="1" customHeight="1" x14ac:dyDescent="0.2">
      <c r="A271" s="1598">
        <f t="shared" si="8"/>
        <v>79</v>
      </c>
      <c r="B271" s="1374" t="s">
        <v>354</v>
      </c>
      <c r="C271" s="1389" t="s">
        <v>210</v>
      </c>
      <c r="D271" s="1374">
        <v>0.32300000000000001</v>
      </c>
      <c r="E271" s="1470">
        <v>2402</v>
      </c>
      <c r="F271" s="1374">
        <v>0.32300000000000001</v>
      </c>
      <c r="G271" s="1558">
        <v>2402</v>
      </c>
      <c r="H271" s="906"/>
      <c r="I271" s="906"/>
      <c r="J271" s="906"/>
      <c r="K271" s="906"/>
      <c r="L271" s="906"/>
      <c r="M271" s="906"/>
      <c r="N271" s="906"/>
      <c r="O271" s="906"/>
      <c r="P271" s="906"/>
      <c r="Q271" s="906"/>
      <c r="R271" s="906"/>
      <c r="S271" s="906"/>
      <c r="T271" s="1374" t="s">
        <v>441</v>
      </c>
      <c r="U271" s="1374" t="s">
        <v>1304</v>
      </c>
      <c r="V271" s="1374" t="s">
        <v>5</v>
      </c>
      <c r="W271" s="906"/>
      <c r="X271" s="906" t="s">
        <v>2</v>
      </c>
      <c r="Y271" s="2089">
        <f>W271*5360*0.7</f>
        <v>0</v>
      </c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3" t="s">
        <v>1257</v>
      </c>
    </row>
    <row r="272" spans="1:44" s="116" customFormat="1" ht="32.1" hidden="1" customHeight="1" x14ac:dyDescent="0.2">
      <c r="A272" s="1241"/>
      <c r="B272" s="1375"/>
      <c r="C272" s="1390"/>
      <c r="D272" s="1375"/>
      <c r="E272" s="1471"/>
      <c r="F272" s="1375"/>
      <c r="G272" s="1271"/>
      <c r="H272" s="906"/>
      <c r="I272" s="906"/>
      <c r="J272" s="906"/>
      <c r="K272" s="906"/>
      <c r="L272" s="906"/>
      <c r="M272" s="906"/>
      <c r="N272" s="906"/>
      <c r="O272" s="906"/>
      <c r="P272" s="906"/>
      <c r="Q272" s="906"/>
      <c r="R272" s="906"/>
      <c r="S272" s="906"/>
      <c r="T272" s="1375"/>
      <c r="U272" s="1375"/>
      <c r="V272" s="1375"/>
      <c r="W272" s="892"/>
      <c r="X272" s="906" t="s">
        <v>4</v>
      </c>
      <c r="Y272" s="2090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3"/>
    </row>
    <row r="273" spans="1:44" s="116" customFormat="1" ht="34.700000000000003" hidden="1" customHeight="1" x14ac:dyDescent="0.2">
      <c r="A273" s="1598">
        <f t="shared" si="8"/>
        <v>80</v>
      </c>
      <c r="B273" s="1374" t="s">
        <v>355</v>
      </c>
      <c r="C273" s="1389" t="s">
        <v>211</v>
      </c>
      <c r="D273" s="1374">
        <v>0.34300000000000003</v>
      </c>
      <c r="E273" s="1470">
        <v>4268</v>
      </c>
      <c r="F273" s="1374">
        <v>0.34300000000000003</v>
      </c>
      <c r="G273" s="1558">
        <v>4268</v>
      </c>
      <c r="H273" s="906"/>
      <c r="I273" s="906"/>
      <c r="J273" s="906"/>
      <c r="K273" s="906"/>
      <c r="L273" s="906"/>
      <c r="M273" s="906"/>
      <c r="N273" s="906"/>
      <c r="O273" s="906"/>
      <c r="P273" s="906"/>
      <c r="Q273" s="906"/>
      <c r="R273" s="906"/>
      <c r="S273" s="906"/>
      <c r="T273" s="1374" t="s">
        <v>441</v>
      </c>
      <c r="U273" s="1374" t="s">
        <v>1305</v>
      </c>
      <c r="V273" s="1374" t="s">
        <v>5</v>
      </c>
      <c r="W273" s="906"/>
      <c r="X273" s="906" t="s">
        <v>2</v>
      </c>
      <c r="Y273" s="2089">
        <f>W273*5360*0.7</f>
        <v>0</v>
      </c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3" t="s">
        <v>1296</v>
      </c>
    </row>
    <row r="274" spans="1:44" s="116" customFormat="1" ht="34.700000000000003" hidden="1" customHeight="1" x14ac:dyDescent="0.2">
      <c r="A274" s="1241"/>
      <c r="B274" s="1375"/>
      <c r="C274" s="1390"/>
      <c r="D274" s="1375"/>
      <c r="E274" s="1471"/>
      <c r="F274" s="1375"/>
      <c r="G274" s="1271"/>
      <c r="H274" s="906"/>
      <c r="I274" s="906"/>
      <c r="J274" s="906"/>
      <c r="K274" s="906"/>
      <c r="L274" s="906"/>
      <c r="M274" s="906"/>
      <c r="N274" s="906"/>
      <c r="O274" s="906"/>
      <c r="P274" s="906"/>
      <c r="Q274" s="906"/>
      <c r="R274" s="906"/>
      <c r="S274" s="906"/>
      <c r="T274" s="1375"/>
      <c r="U274" s="1375"/>
      <c r="V274" s="1375"/>
      <c r="W274" s="892"/>
      <c r="X274" s="906" t="s">
        <v>4</v>
      </c>
      <c r="Y274" s="2090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3"/>
    </row>
    <row r="275" spans="1:44" s="116" customFormat="1" ht="32.1" hidden="1" customHeight="1" x14ac:dyDescent="0.2">
      <c r="A275" s="1598">
        <f t="shared" si="8"/>
        <v>81</v>
      </c>
      <c r="B275" s="1374" t="s">
        <v>356</v>
      </c>
      <c r="C275" s="1389" t="s">
        <v>212</v>
      </c>
      <c r="D275" s="1374">
        <v>0.25700000000000001</v>
      </c>
      <c r="E275" s="1470">
        <v>1007</v>
      </c>
      <c r="F275" s="1374">
        <v>0.25700000000000001</v>
      </c>
      <c r="G275" s="1558">
        <v>1007</v>
      </c>
      <c r="H275" s="906"/>
      <c r="I275" s="906"/>
      <c r="J275" s="906"/>
      <c r="K275" s="906"/>
      <c r="L275" s="906"/>
      <c r="M275" s="906"/>
      <c r="N275" s="906"/>
      <c r="O275" s="906"/>
      <c r="P275" s="906"/>
      <c r="Q275" s="906"/>
      <c r="R275" s="906"/>
      <c r="S275" s="906"/>
      <c r="T275" s="1374" t="s">
        <v>441</v>
      </c>
      <c r="U275" s="1374" t="s">
        <v>1307</v>
      </c>
      <c r="V275" s="1374" t="s">
        <v>5</v>
      </c>
      <c r="W275" s="906"/>
      <c r="X275" s="906" t="s">
        <v>2</v>
      </c>
      <c r="Y275" s="2089">
        <f>W275*5360*0.7</f>
        <v>0</v>
      </c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3" t="s">
        <v>1306</v>
      </c>
    </row>
    <row r="276" spans="1:44" s="116" customFormat="1" ht="35.65" hidden="1" customHeight="1" x14ac:dyDescent="0.2">
      <c r="A276" s="1241"/>
      <c r="B276" s="1375"/>
      <c r="C276" s="1390"/>
      <c r="D276" s="1375"/>
      <c r="E276" s="1471"/>
      <c r="F276" s="1375"/>
      <c r="G276" s="1271"/>
      <c r="H276" s="906"/>
      <c r="I276" s="906"/>
      <c r="J276" s="906"/>
      <c r="K276" s="906"/>
      <c r="L276" s="906"/>
      <c r="M276" s="906"/>
      <c r="N276" s="906"/>
      <c r="O276" s="906"/>
      <c r="P276" s="906"/>
      <c r="Q276" s="906"/>
      <c r="R276" s="906"/>
      <c r="S276" s="906"/>
      <c r="T276" s="1375"/>
      <c r="U276" s="1375"/>
      <c r="V276" s="1375"/>
      <c r="W276" s="892"/>
      <c r="X276" s="906" t="s">
        <v>4</v>
      </c>
      <c r="Y276" s="2090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3"/>
    </row>
    <row r="277" spans="1:44" s="116" customFormat="1" ht="36.6" hidden="1" customHeight="1" x14ac:dyDescent="0.2">
      <c r="A277" s="1598">
        <f t="shared" si="8"/>
        <v>82</v>
      </c>
      <c r="B277" s="1374" t="s">
        <v>357</v>
      </c>
      <c r="C277" s="1389" t="s">
        <v>213</v>
      </c>
      <c r="D277" s="1374">
        <v>0.21</v>
      </c>
      <c r="E277" s="1470">
        <v>1199</v>
      </c>
      <c r="F277" s="1374">
        <v>0.21</v>
      </c>
      <c r="G277" s="1558">
        <v>1199</v>
      </c>
      <c r="H277" s="906"/>
      <c r="I277" s="906"/>
      <c r="J277" s="906"/>
      <c r="K277" s="906"/>
      <c r="L277" s="906"/>
      <c r="M277" s="906"/>
      <c r="N277" s="906"/>
      <c r="O277" s="906"/>
      <c r="P277" s="906"/>
      <c r="Q277" s="906"/>
      <c r="R277" s="906"/>
      <c r="S277" s="906"/>
      <c r="T277" s="1374" t="s">
        <v>441</v>
      </c>
      <c r="U277" s="1374" t="s">
        <v>1309</v>
      </c>
      <c r="V277" s="1374" t="s">
        <v>5</v>
      </c>
      <c r="W277" s="906"/>
      <c r="X277" s="906" t="s">
        <v>2</v>
      </c>
      <c r="Y277" s="2089">
        <f>W277*5360*0.7</f>
        <v>0</v>
      </c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3" t="s">
        <v>1308</v>
      </c>
    </row>
    <row r="278" spans="1:44" s="116" customFormat="1" ht="37.9" hidden="1" customHeight="1" x14ac:dyDescent="0.2">
      <c r="A278" s="1241"/>
      <c r="B278" s="1375"/>
      <c r="C278" s="1390"/>
      <c r="D278" s="1375"/>
      <c r="E278" s="1471"/>
      <c r="F278" s="1375"/>
      <c r="G278" s="1271"/>
      <c r="H278" s="906"/>
      <c r="I278" s="906"/>
      <c r="J278" s="906"/>
      <c r="K278" s="906"/>
      <c r="L278" s="906"/>
      <c r="M278" s="906"/>
      <c r="N278" s="906"/>
      <c r="O278" s="906"/>
      <c r="P278" s="906"/>
      <c r="Q278" s="906"/>
      <c r="R278" s="906"/>
      <c r="S278" s="906"/>
      <c r="T278" s="1375"/>
      <c r="U278" s="1375"/>
      <c r="V278" s="1375"/>
      <c r="W278" s="892"/>
      <c r="X278" s="906" t="s">
        <v>4</v>
      </c>
      <c r="Y278" s="2090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3"/>
    </row>
    <row r="279" spans="1:44" s="116" customFormat="1" ht="49.15" hidden="1" customHeight="1" x14ac:dyDescent="0.2">
      <c r="A279" s="1598">
        <f t="shared" si="8"/>
        <v>83</v>
      </c>
      <c r="B279" s="1374" t="s">
        <v>358</v>
      </c>
      <c r="C279" s="1389" t="s">
        <v>214</v>
      </c>
      <c r="D279" s="1374">
        <v>0.622</v>
      </c>
      <c r="E279" s="1470">
        <v>5031</v>
      </c>
      <c r="F279" s="1374">
        <v>0.622</v>
      </c>
      <c r="G279" s="1558">
        <v>5031</v>
      </c>
      <c r="H279" s="906"/>
      <c r="I279" s="906"/>
      <c r="J279" s="906"/>
      <c r="K279" s="906"/>
      <c r="L279" s="906"/>
      <c r="M279" s="906"/>
      <c r="N279" s="906"/>
      <c r="O279" s="906"/>
      <c r="P279" s="906"/>
      <c r="Q279" s="906"/>
      <c r="R279" s="906"/>
      <c r="S279" s="906"/>
      <c r="T279" s="1374" t="s">
        <v>441</v>
      </c>
      <c r="U279" s="1374" t="s">
        <v>442</v>
      </c>
      <c r="V279" s="1374" t="s">
        <v>5</v>
      </c>
      <c r="W279" s="906"/>
      <c r="X279" s="906" t="s">
        <v>2</v>
      </c>
      <c r="Y279" s="2089">
        <f>W279*5360*0.7</f>
        <v>0</v>
      </c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  <c r="AP279" s="123"/>
      <c r="AQ279" s="123"/>
      <c r="AR279" s="1233" t="s">
        <v>1351</v>
      </c>
    </row>
    <row r="280" spans="1:44" s="116" customFormat="1" ht="48.2" hidden="1" customHeight="1" x14ac:dyDescent="0.2">
      <c r="A280" s="1241"/>
      <c r="B280" s="1375"/>
      <c r="C280" s="1390"/>
      <c r="D280" s="1375"/>
      <c r="E280" s="1471"/>
      <c r="F280" s="1375"/>
      <c r="G280" s="1271"/>
      <c r="H280" s="906"/>
      <c r="I280" s="906"/>
      <c r="J280" s="906"/>
      <c r="K280" s="906"/>
      <c r="L280" s="906"/>
      <c r="M280" s="906"/>
      <c r="N280" s="906"/>
      <c r="O280" s="906"/>
      <c r="P280" s="906"/>
      <c r="Q280" s="906"/>
      <c r="R280" s="906"/>
      <c r="S280" s="906"/>
      <c r="T280" s="1375"/>
      <c r="U280" s="1375"/>
      <c r="V280" s="1375"/>
      <c r="W280" s="892"/>
      <c r="X280" s="906" t="s">
        <v>4</v>
      </c>
      <c r="Y280" s="2090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  <c r="AP280" s="123"/>
      <c r="AQ280" s="123"/>
      <c r="AR280" s="1233"/>
    </row>
    <row r="281" spans="1:44" s="116" customFormat="1" ht="38.65" hidden="1" customHeight="1" x14ac:dyDescent="0.2">
      <c r="A281" s="1598">
        <f t="shared" si="8"/>
        <v>84</v>
      </c>
      <c r="B281" s="1374" t="s">
        <v>359</v>
      </c>
      <c r="C281" s="1389" t="s">
        <v>215</v>
      </c>
      <c r="D281" s="1374">
        <v>0.18</v>
      </c>
      <c r="E281" s="1470">
        <v>1710</v>
      </c>
      <c r="F281" s="1374">
        <v>0.18</v>
      </c>
      <c r="G281" s="1558">
        <v>1710</v>
      </c>
      <c r="H281" s="906"/>
      <c r="I281" s="906"/>
      <c r="J281" s="906"/>
      <c r="K281" s="906"/>
      <c r="L281" s="906"/>
      <c r="M281" s="906"/>
      <c r="N281" s="906"/>
      <c r="O281" s="906"/>
      <c r="P281" s="906"/>
      <c r="Q281" s="906"/>
      <c r="R281" s="906"/>
      <c r="S281" s="906"/>
      <c r="T281" s="1374" t="s">
        <v>441</v>
      </c>
      <c r="U281" s="1374" t="s">
        <v>609</v>
      </c>
      <c r="V281" s="1374" t="s">
        <v>5</v>
      </c>
      <c r="W281" s="906"/>
      <c r="X281" s="906" t="s">
        <v>2</v>
      </c>
      <c r="Y281" s="2089">
        <f>W281*5360*0.7</f>
        <v>0</v>
      </c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  <c r="AP281" s="123"/>
      <c r="AQ281" s="123"/>
      <c r="AR281" s="1233" t="s">
        <v>1235</v>
      </c>
    </row>
    <row r="282" spans="1:44" s="116" customFormat="1" ht="27" hidden="1" customHeight="1" x14ac:dyDescent="0.2">
      <c r="A282" s="1241"/>
      <c r="B282" s="1375"/>
      <c r="C282" s="1390"/>
      <c r="D282" s="1375"/>
      <c r="E282" s="1471"/>
      <c r="F282" s="1375"/>
      <c r="G282" s="1271"/>
      <c r="H282" s="906"/>
      <c r="I282" s="906"/>
      <c r="J282" s="906"/>
      <c r="K282" s="906"/>
      <c r="L282" s="906"/>
      <c r="M282" s="906"/>
      <c r="N282" s="906"/>
      <c r="O282" s="906"/>
      <c r="P282" s="906"/>
      <c r="Q282" s="906"/>
      <c r="R282" s="906"/>
      <c r="S282" s="906"/>
      <c r="T282" s="1375"/>
      <c r="U282" s="1375"/>
      <c r="V282" s="1375"/>
      <c r="W282" s="892"/>
      <c r="X282" s="906" t="s">
        <v>4</v>
      </c>
      <c r="Y282" s="2090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  <c r="AP282" s="123"/>
      <c r="AQ282" s="123"/>
      <c r="AR282" s="1233"/>
    </row>
    <row r="283" spans="1:44" s="116" customFormat="1" ht="32.1" hidden="1" customHeight="1" x14ac:dyDescent="0.2">
      <c r="A283" s="1598">
        <f t="shared" si="8"/>
        <v>85</v>
      </c>
      <c r="B283" s="1374" t="s">
        <v>360</v>
      </c>
      <c r="C283" s="1389" t="s">
        <v>216</v>
      </c>
      <c r="D283" s="1374">
        <v>0.372</v>
      </c>
      <c r="E283" s="1470">
        <v>3493</v>
      </c>
      <c r="F283" s="1374">
        <v>0.372</v>
      </c>
      <c r="G283" s="1558">
        <v>3493</v>
      </c>
      <c r="H283" s="906"/>
      <c r="I283" s="906"/>
      <c r="J283" s="906"/>
      <c r="K283" s="906"/>
      <c r="L283" s="906"/>
      <c r="M283" s="906"/>
      <c r="N283" s="906"/>
      <c r="O283" s="906"/>
      <c r="P283" s="906"/>
      <c r="Q283" s="906"/>
      <c r="R283" s="906"/>
      <c r="S283" s="906"/>
      <c r="T283" s="1374" t="s">
        <v>441</v>
      </c>
      <c r="U283" s="1374" t="s">
        <v>1311</v>
      </c>
      <c r="V283" s="1374" t="s">
        <v>5</v>
      </c>
      <c r="W283" s="906"/>
      <c r="X283" s="906" t="s">
        <v>2</v>
      </c>
      <c r="Y283" s="2089">
        <f>W283*5360*0.7</f>
        <v>0</v>
      </c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  <c r="AP283" s="123"/>
      <c r="AQ283" s="123"/>
      <c r="AR283" s="1233" t="s">
        <v>1310</v>
      </c>
    </row>
    <row r="284" spans="1:44" s="116" customFormat="1" ht="36" hidden="1" customHeight="1" x14ac:dyDescent="0.2">
      <c r="A284" s="1241"/>
      <c r="B284" s="1375"/>
      <c r="C284" s="1390"/>
      <c r="D284" s="1375"/>
      <c r="E284" s="1471"/>
      <c r="F284" s="1375"/>
      <c r="G284" s="1271"/>
      <c r="H284" s="906"/>
      <c r="I284" s="906"/>
      <c r="J284" s="906"/>
      <c r="K284" s="906"/>
      <c r="L284" s="906"/>
      <c r="M284" s="906"/>
      <c r="N284" s="906"/>
      <c r="O284" s="906"/>
      <c r="P284" s="906"/>
      <c r="Q284" s="906"/>
      <c r="R284" s="906"/>
      <c r="S284" s="906"/>
      <c r="T284" s="1375"/>
      <c r="U284" s="1375"/>
      <c r="V284" s="1375"/>
      <c r="W284" s="892"/>
      <c r="X284" s="906" t="s">
        <v>4</v>
      </c>
      <c r="Y284" s="2090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  <c r="AP284" s="123"/>
      <c r="AQ284" s="123"/>
      <c r="AR284" s="1233"/>
    </row>
    <row r="285" spans="1:44" s="116" customFormat="1" ht="36.6" hidden="1" customHeight="1" x14ac:dyDescent="0.2">
      <c r="A285" s="1598">
        <f t="shared" si="8"/>
        <v>86</v>
      </c>
      <c r="B285" s="1374" t="s">
        <v>361</v>
      </c>
      <c r="C285" s="1389" t="s">
        <v>217</v>
      </c>
      <c r="D285" s="1374">
        <v>0.69499999999999995</v>
      </c>
      <c r="E285" s="1470">
        <v>4578</v>
      </c>
      <c r="F285" s="1374">
        <v>0.69499999999999995</v>
      </c>
      <c r="G285" s="1558">
        <v>4578</v>
      </c>
      <c r="H285" s="906"/>
      <c r="I285" s="906"/>
      <c r="J285" s="906"/>
      <c r="K285" s="906"/>
      <c r="L285" s="906"/>
      <c r="M285" s="906"/>
      <c r="N285" s="906"/>
      <c r="O285" s="906"/>
      <c r="P285" s="906"/>
      <c r="Q285" s="906"/>
      <c r="R285" s="906"/>
      <c r="S285" s="906"/>
      <c r="T285" s="1374" t="s">
        <v>441</v>
      </c>
      <c r="U285" s="1374" t="s">
        <v>1313</v>
      </c>
      <c r="V285" s="1374" t="s">
        <v>5</v>
      </c>
      <c r="W285" s="906"/>
      <c r="X285" s="906" t="s">
        <v>2</v>
      </c>
      <c r="Y285" s="2089">
        <f>W285*5360*0.7</f>
        <v>0</v>
      </c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  <c r="AP285" s="123"/>
      <c r="AQ285" s="123"/>
      <c r="AR285" s="1233" t="s">
        <v>1312</v>
      </c>
    </row>
    <row r="286" spans="1:44" s="116" customFormat="1" ht="36.6" hidden="1" customHeight="1" x14ac:dyDescent="0.2">
      <c r="A286" s="1241"/>
      <c r="B286" s="1375"/>
      <c r="C286" s="1390"/>
      <c r="D286" s="1375"/>
      <c r="E286" s="1471"/>
      <c r="F286" s="1375"/>
      <c r="G286" s="1271"/>
      <c r="H286" s="906"/>
      <c r="I286" s="906"/>
      <c r="J286" s="906"/>
      <c r="K286" s="906"/>
      <c r="L286" s="906"/>
      <c r="M286" s="906"/>
      <c r="N286" s="906"/>
      <c r="O286" s="906"/>
      <c r="P286" s="906"/>
      <c r="Q286" s="906"/>
      <c r="R286" s="906"/>
      <c r="S286" s="906"/>
      <c r="T286" s="1375"/>
      <c r="U286" s="1375"/>
      <c r="V286" s="1375"/>
      <c r="W286" s="892"/>
      <c r="X286" s="906" t="s">
        <v>4</v>
      </c>
      <c r="Y286" s="2090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  <c r="AP286" s="123"/>
      <c r="AQ286" s="123"/>
      <c r="AR286" s="1233"/>
    </row>
    <row r="287" spans="1:44" s="116" customFormat="1" ht="37.9" hidden="1" customHeight="1" x14ac:dyDescent="0.2">
      <c r="A287" s="1598">
        <f t="shared" si="8"/>
        <v>87</v>
      </c>
      <c r="B287" s="1374" t="s">
        <v>362</v>
      </c>
      <c r="C287" s="1389" t="s">
        <v>218</v>
      </c>
      <c r="D287" s="1374">
        <v>0.8</v>
      </c>
      <c r="E287" s="1470">
        <v>5960</v>
      </c>
      <c r="F287" s="1374">
        <v>0.8</v>
      </c>
      <c r="G287" s="1558">
        <v>5960</v>
      </c>
      <c r="H287" s="906"/>
      <c r="I287" s="906"/>
      <c r="J287" s="906"/>
      <c r="K287" s="906"/>
      <c r="L287" s="906"/>
      <c r="M287" s="906"/>
      <c r="N287" s="906"/>
      <c r="O287" s="906"/>
      <c r="P287" s="906"/>
      <c r="Q287" s="906"/>
      <c r="R287" s="906"/>
      <c r="S287" s="906"/>
      <c r="T287" s="1374" t="s">
        <v>441</v>
      </c>
      <c r="U287" s="1374" t="s">
        <v>402</v>
      </c>
      <c r="V287" s="1374" t="s">
        <v>5</v>
      </c>
      <c r="W287" s="906"/>
      <c r="X287" s="906" t="s">
        <v>2</v>
      </c>
      <c r="Y287" s="2089">
        <f>W287*5360*0.7</f>
        <v>0</v>
      </c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  <c r="AP287" s="123"/>
      <c r="AQ287" s="123"/>
      <c r="AR287" s="1233" t="s">
        <v>1314</v>
      </c>
    </row>
    <row r="288" spans="1:44" s="116" customFormat="1" ht="32.1" hidden="1" customHeight="1" x14ac:dyDescent="0.2">
      <c r="A288" s="1241"/>
      <c r="B288" s="1375"/>
      <c r="C288" s="1390"/>
      <c r="D288" s="1375"/>
      <c r="E288" s="1471"/>
      <c r="F288" s="1375"/>
      <c r="G288" s="1271"/>
      <c r="H288" s="906"/>
      <c r="I288" s="906"/>
      <c r="J288" s="906"/>
      <c r="K288" s="906"/>
      <c r="L288" s="906"/>
      <c r="M288" s="906"/>
      <c r="N288" s="906"/>
      <c r="O288" s="906"/>
      <c r="P288" s="906"/>
      <c r="Q288" s="906"/>
      <c r="R288" s="906"/>
      <c r="S288" s="906"/>
      <c r="T288" s="1375"/>
      <c r="U288" s="1375"/>
      <c r="V288" s="1375"/>
      <c r="W288" s="892"/>
      <c r="X288" s="906" t="s">
        <v>4</v>
      </c>
      <c r="Y288" s="2090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  <c r="AP288" s="123"/>
      <c r="AQ288" s="123"/>
      <c r="AR288" s="1233"/>
    </row>
    <row r="289" spans="1:44" s="116" customFormat="1" ht="38.65" hidden="1" customHeight="1" x14ac:dyDescent="0.2">
      <c r="A289" s="1598">
        <f t="shared" si="8"/>
        <v>88</v>
      </c>
      <c r="B289" s="1374" t="s">
        <v>363</v>
      </c>
      <c r="C289" s="1389" t="s">
        <v>219</v>
      </c>
      <c r="D289" s="1374">
        <v>0.52100000000000002</v>
      </c>
      <c r="E289" s="1470">
        <v>4305</v>
      </c>
      <c r="F289" s="1374">
        <v>0.52100000000000002</v>
      </c>
      <c r="G289" s="1558">
        <v>4305</v>
      </c>
      <c r="H289" s="906"/>
      <c r="I289" s="906"/>
      <c r="J289" s="906"/>
      <c r="K289" s="906"/>
      <c r="L289" s="906"/>
      <c r="M289" s="906"/>
      <c r="N289" s="906"/>
      <c r="O289" s="906"/>
      <c r="P289" s="906"/>
      <c r="Q289" s="906"/>
      <c r="R289" s="906"/>
      <c r="S289" s="906"/>
      <c r="T289" s="1374" t="s">
        <v>441</v>
      </c>
      <c r="U289" s="1374" t="s">
        <v>1316</v>
      </c>
      <c r="V289" s="1374" t="s">
        <v>5</v>
      </c>
      <c r="W289" s="906"/>
      <c r="X289" s="906" t="s">
        <v>2</v>
      </c>
      <c r="Y289" s="2089">
        <f>W289*5360*0.7</f>
        <v>0</v>
      </c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23"/>
      <c r="AQ289" s="123"/>
      <c r="AR289" s="1233" t="s">
        <v>1315</v>
      </c>
    </row>
    <row r="290" spans="1:44" s="116" customFormat="1" ht="34.15" hidden="1" customHeight="1" x14ac:dyDescent="0.2">
      <c r="A290" s="1241"/>
      <c r="B290" s="1375"/>
      <c r="C290" s="1390"/>
      <c r="D290" s="1375"/>
      <c r="E290" s="1471"/>
      <c r="F290" s="1375"/>
      <c r="G290" s="1271"/>
      <c r="H290" s="906"/>
      <c r="I290" s="906"/>
      <c r="J290" s="906"/>
      <c r="K290" s="906"/>
      <c r="L290" s="906"/>
      <c r="M290" s="906"/>
      <c r="N290" s="906"/>
      <c r="O290" s="906"/>
      <c r="P290" s="906"/>
      <c r="Q290" s="906"/>
      <c r="R290" s="906"/>
      <c r="S290" s="906"/>
      <c r="T290" s="1375"/>
      <c r="U290" s="1375"/>
      <c r="V290" s="1375"/>
      <c r="W290" s="892"/>
      <c r="X290" s="906" t="s">
        <v>4</v>
      </c>
      <c r="Y290" s="2090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3"/>
    </row>
    <row r="291" spans="1:44" s="116" customFormat="1" ht="37.35" hidden="1" customHeight="1" x14ac:dyDescent="0.2">
      <c r="A291" s="1821">
        <v>53</v>
      </c>
      <c r="B291" s="1374" t="s">
        <v>364</v>
      </c>
      <c r="C291" s="1389" t="s">
        <v>220</v>
      </c>
      <c r="D291" s="1374">
        <v>0.754</v>
      </c>
      <c r="E291" s="1470">
        <v>3791</v>
      </c>
      <c r="F291" s="1374">
        <v>0.754</v>
      </c>
      <c r="G291" s="1558">
        <v>3791</v>
      </c>
      <c r="H291" s="906"/>
      <c r="I291" s="906"/>
      <c r="J291" s="906"/>
      <c r="K291" s="906"/>
      <c r="L291" s="906"/>
      <c r="M291" s="906"/>
      <c r="N291" s="906"/>
      <c r="O291" s="906"/>
      <c r="P291" s="906"/>
      <c r="Q291" s="906"/>
      <c r="R291" s="906"/>
      <c r="S291" s="906"/>
      <c r="T291" s="906"/>
      <c r="U291" s="906"/>
      <c r="V291" s="906"/>
      <c r="W291" s="906"/>
      <c r="X291" s="906"/>
      <c r="Y291" s="901"/>
      <c r="Z291" s="1374" t="s">
        <v>441</v>
      </c>
      <c r="AA291" s="1374" t="s">
        <v>1317</v>
      </c>
      <c r="AB291" s="1374" t="s">
        <v>5</v>
      </c>
      <c r="AC291" s="906">
        <v>0.754</v>
      </c>
      <c r="AD291" s="906" t="s">
        <v>2</v>
      </c>
      <c r="AE291" s="1374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23"/>
      <c r="AQ291" s="123"/>
      <c r="AR291" s="1233"/>
    </row>
    <row r="292" spans="1:44" s="116" customFormat="1" ht="33.4" hidden="1" customHeight="1" x14ac:dyDescent="0.2">
      <c r="A292" s="1822"/>
      <c r="B292" s="1375"/>
      <c r="C292" s="1390"/>
      <c r="D292" s="1375"/>
      <c r="E292" s="1471"/>
      <c r="F292" s="1375"/>
      <c r="G292" s="1271"/>
      <c r="H292" s="906"/>
      <c r="I292" s="906"/>
      <c r="J292" s="906"/>
      <c r="K292" s="906"/>
      <c r="L292" s="906"/>
      <c r="M292" s="906"/>
      <c r="N292" s="906"/>
      <c r="O292" s="906"/>
      <c r="P292" s="906"/>
      <c r="Q292" s="906"/>
      <c r="R292" s="906"/>
      <c r="S292" s="906"/>
      <c r="T292" s="906"/>
      <c r="U292" s="906"/>
      <c r="V292" s="906"/>
      <c r="W292" s="892"/>
      <c r="X292" s="906"/>
      <c r="Y292" s="901"/>
      <c r="Z292" s="1375"/>
      <c r="AA292" s="1375"/>
      <c r="AB292" s="1375"/>
      <c r="AC292" s="892">
        <v>4665</v>
      </c>
      <c r="AD292" s="906" t="s">
        <v>4</v>
      </c>
      <c r="AE292" s="1375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23"/>
      <c r="AQ292" s="123"/>
      <c r="AR292" s="1233"/>
    </row>
    <row r="293" spans="1:44" s="116" customFormat="1" ht="31.5" hidden="1" x14ac:dyDescent="0.2">
      <c r="A293" s="892">
        <f>A291+1</f>
        <v>54</v>
      </c>
      <c r="B293" s="906" t="s">
        <v>365</v>
      </c>
      <c r="C293" s="1140" t="s">
        <v>221</v>
      </c>
      <c r="D293" s="906">
        <v>0.41599999999999998</v>
      </c>
      <c r="E293" s="1139">
        <v>4620</v>
      </c>
      <c r="F293" s="906">
        <v>0.41599999999999998</v>
      </c>
      <c r="G293" s="901">
        <v>4620</v>
      </c>
      <c r="H293" s="906"/>
      <c r="I293" s="906"/>
      <c r="J293" s="906"/>
      <c r="K293" s="906"/>
      <c r="L293" s="906"/>
      <c r="M293" s="906"/>
      <c r="N293" s="906"/>
      <c r="O293" s="906"/>
      <c r="P293" s="906"/>
      <c r="Q293" s="906"/>
      <c r="R293" s="906"/>
      <c r="S293" s="906"/>
      <c r="T293" s="906"/>
      <c r="U293" s="906"/>
      <c r="V293" s="906"/>
      <c r="W293" s="906"/>
      <c r="X293" s="906"/>
      <c r="Y293" s="901"/>
      <c r="Z293" s="906" t="s">
        <v>409</v>
      </c>
      <c r="AA293" s="906" t="s">
        <v>410</v>
      </c>
      <c r="AB293" s="906" t="s">
        <v>5</v>
      </c>
      <c r="AC293" s="906">
        <v>0.41599999999999998</v>
      </c>
      <c r="AD293" s="906" t="s">
        <v>2</v>
      </c>
      <c r="AE293" s="906">
        <f>AC293*9686.683</f>
        <v>4029.660128</v>
      </c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  <c r="AP293" s="123"/>
      <c r="AQ293" s="123"/>
      <c r="AR293" s="123"/>
    </row>
    <row r="294" spans="1:44" s="116" customFormat="1" ht="15.75" hidden="1" x14ac:dyDescent="0.2">
      <c r="A294" s="892"/>
      <c r="B294" s="906"/>
      <c r="C294" s="1140"/>
      <c r="D294" s="906"/>
      <c r="E294" s="1139"/>
      <c r="F294" s="906"/>
      <c r="G294" s="901"/>
      <c r="H294" s="906"/>
      <c r="I294" s="906"/>
      <c r="J294" s="906"/>
      <c r="K294" s="906"/>
      <c r="L294" s="906"/>
      <c r="M294" s="906"/>
      <c r="N294" s="906"/>
      <c r="O294" s="906"/>
      <c r="P294" s="906"/>
      <c r="Q294" s="906"/>
      <c r="R294" s="906"/>
      <c r="S294" s="906"/>
      <c r="T294" s="906"/>
      <c r="U294" s="906"/>
      <c r="V294" s="906"/>
      <c r="W294" s="892"/>
      <c r="X294" s="906"/>
      <c r="Y294" s="901"/>
      <c r="Z294" s="906"/>
      <c r="AA294" s="906"/>
      <c r="AB294" s="906"/>
      <c r="AC294" s="892">
        <v>4620</v>
      </c>
      <c r="AD294" s="906" t="s">
        <v>4</v>
      </c>
      <c r="AE294" s="90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  <c r="AP294" s="123"/>
      <c r="AQ294" s="123"/>
      <c r="AR294" s="123"/>
    </row>
    <row r="295" spans="1:44" s="116" customFormat="1" ht="31.5" hidden="1" x14ac:dyDescent="0.2">
      <c r="A295" s="892">
        <f>A293+1</f>
        <v>55</v>
      </c>
      <c r="B295" s="906" t="s">
        <v>366</v>
      </c>
      <c r="C295" s="1140" t="s">
        <v>222</v>
      </c>
      <c r="D295" s="906">
        <v>0.74</v>
      </c>
      <c r="E295" s="1139">
        <v>3390</v>
      </c>
      <c r="F295" s="906">
        <v>0.74</v>
      </c>
      <c r="G295" s="901">
        <v>3390</v>
      </c>
      <c r="H295" s="906"/>
      <c r="I295" s="906"/>
      <c r="J295" s="906"/>
      <c r="K295" s="906"/>
      <c r="L295" s="906"/>
      <c r="M295" s="906"/>
      <c r="N295" s="906"/>
      <c r="O295" s="906"/>
      <c r="P295" s="906"/>
      <c r="Q295" s="906"/>
      <c r="R295" s="906"/>
      <c r="S295" s="906"/>
      <c r="T295" s="906"/>
      <c r="U295" s="906"/>
      <c r="V295" s="906"/>
      <c r="W295" s="906"/>
      <c r="X295" s="906"/>
      <c r="Y295" s="901"/>
      <c r="Z295" s="906" t="s">
        <v>411</v>
      </c>
      <c r="AA295" s="906" t="s">
        <v>408</v>
      </c>
      <c r="AB295" s="906" t="s">
        <v>5</v>
      </c>
      <c r="AC295" s="906">
        <v>0.74</v>
      </c>
      <c r="AD295" s="906" t="s">
        <v>2</v>
      </c>
      <c r="AE295" s="906">
        <f>AC295*9686.683</f>
        <v>7168.1454200000007</v>
      </c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  <c r="AP295" s="123"/>
      <c r="AQ295" s="123"/>
      <c r="AR295" s="123"/>
    </row>
    <row r="296" spans="1:44" s="116" customFormat="1" ht="15.75" hidden="1" x14ac:dyDescent="0.2">
      <c r="A296" s="892"/>
      <c r="B296" s="906"/>
      <c r="C296" s="1140"/>
      <c r="D296" s="906"/>
      <c r="E296" s="1139"/>
      <c r="F296" s="906"/>
      <c r="G296" s="901"/>
      <c r="H296" s="906"/>
      <c r="I296" s="906"/>
      <c r="J296" s="906"/>
      <c r="K296" s="906"/>
      <c r="L296" s="906"/>
      <c r="M296" s="906"/>
      <c r="N296" s="906"/>
      <c r="O296" s="906"/>
      <c r="P296" s="906"/>
      <c r="Q296" s="906"/>
      <c r="R296" s="906"/>
      <c r="S296" s="906"/>
      <c r="T296" s="906"/>
      <c r="U296" s="906"/>
      <c r="V296" s="906"/>
      <c r="W296" s="892"/>
      <c r="X296" s="906"/>
      <c r="Y296" s="901"/>
      <c r="Z296" s="906"/>
      <c r="AA296" s="906"/>
      <c r="AB296" s="906"/>
      <c r="AC296" s="892">
        <v>3390</v>
      </c>
      <c r="AD296" s="906" t="s">
        <v>4</v>
      </c>
      <c r="AE296" s="90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  <c r="AP296" s="123"/>
      <c r="AQ296" s="123"/>
      <c r="AR296" s="123"/>
    </row>
    <row r="297" spans="1:44" s="116" customFormat="1" ht="31.5" hidden="1" x14ac:dyDescent="0.2">
      <c r="A297" s="892">
        <f>A295+1</f>
        <v>56</v>
      </c>
      <c r="B297" s="906" t="s">
        <v>367</v>
      </c>
      <c r="C297" s="1140" t="s">
        <v>223</v>
      </c>
      <c r="D297" s="906">
        <v>0.93200000000000005</v>
      </c>
      <c r="E297" s="1139">
        <v>2982</v>
      </c>
      <c r="F297" s="906">
        <v>0.93200000000000005</v>
      </c>
      <c r="G297" s="901">
        <v>2982</v>
      </c>
      <c r="H297" s="906"/>
      <c r="I297" s="906"/>
      <c r="J297" s="906"/>
      <c r="K297" s="906"/>
      <c r="L297" s="906"/>
      <c r="M297" s="906"/>
      <c r="N297" s="906"/>
      <c r="O297" s="906"/>
      <c r="P297" s="906"/>
      <c r="Q297" s="906"/>
      <c r="R297" s="906"/>
      <c r="S297" s="906"/>
      <c r="T297" s="906"/>
      <c r="U297" s="906"/>
      <c r="V297" s="906"/>
      <c r="W297" s="906"/>
      <c r="X297" s="906"/>
      <c r="Y297" s="901"/>
      <c r="Z297" s="906" t="s">
        <v>412</v>
      </c>
      <c r="AA297" s="906" t="s">
        <v>413</v>
      </c>
      <c r="AB297" s="906" t="s">
        <v>5</v>
      </c>
      <c r="AC297" s="906">
        <v>0.93200000000000005</v>
      </c>
      <c r="AD297" s="906" t="s">
        <v>2</v>
      </c>
      <c r="AE297" s="906">
        <f>AC297*9686.683</f>
        <v>9027.9885560000021</v>
      </c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  <c r="AP297" s="123"/>
      <c r="AQ297" s="123"/>
      <c r="AR297" s="123"/>
    </row>
    <row r="298" spans="1:44" s="116" customFormat="1" ht="15.75" hidden="1" x14ac:dyDescent="0.2">
      <c r="A298" s="892"/>
      <c r="B298" s="906"/>
      <c r="C298" s="1140"/>
      <c r="D298" s="906"/>
      <c r="E298" s="1139"/>
      <c r="F298" s="906"/>
      <c r="G298" s="901"/>
      <c r="H298" s="906"/>
      <c r="I298" s="906"/>
      <c r="J298" s="906"/>
      <c r="K298" s="906"/>
      <c r="L298" s="906"/>
      <c r="M298" s="906"/>
      <c r="N298" s="906"/>
      <c r="O298" s="906"/>
      <c r="P298" s="906"/>
      <c r="Q298" s="906"/>
      <c r="R298" s="906"/>
      <c r="S298" s="906"/>
      <c r="T298" s="906"/>
      <c r="U298" s="906"/>
      <c r="V298" s="906"/>
      <c r="W298" s="892"/>
      <c r="X298" s="906"/>
      <c r="Y298" s="901"/>
      <c r="Z298" s="906"/>
      <c r="AA298" s="906"/>
      <c r="AB298" s="906"/>
      <c r="AC298" s="892">
        <v>2982</v>
      </c>
      <c r="AD298" s="906" t="s">
        <v>4</v>
      </c>
      <c r="AE298" s="90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</row>
    <row r="299" spans="1:44" s="116" customFormat="1" ht="47.25" hidden="1" x14ac:dyDescent="0.2">
      <c r="A299" s="892">
        <f>A297+1</f>
        <v>57</v>
      </c>
      <c r="B299" s="906" t="s">
        <v>368</v>
      </c>
      <c r="C299" s="1140" t="s">
        <v>224</v>
      </c>
      <c r="D299" s="906">
        <v>0.3</v>
      </c>
      <c r="E299" s="1139">
        <v>1200</v>
      </c>
      <c r="F299" s="906">
        <v>0.3</v>
      </c>
      <c r="G299" s="901">
        <v>1200</v>
      </c>
      <c r="H299" s="906"/>
      <c r="I299" s="906"/>
      <c r="J299" s="906"/>
      <c r="K299" s="906"/>
      <c r="L299" s="906"/>
      <c r="M299" s="906"/>
      <c r="N299" s="906"/>
      <c r="O299" s="906"/>
      <c r="P299" s="906"/>
      <c r="Q299" s="906"/>
      <c r="R299" s="906"/>
      <c r="S299" s="906"/>
      <c r="T299" s="906"/>
      <c r="U299" s="906"/>
      <c r="V299" s="906"/>
      <c r="W299" s="906"/>
      <c r="X299" s="906"/>
      <c r="Y299" s="901"/>
      <c r="Z299" s="906" t="s">
        <v>414</v>
      </c>
      <c r="AA299" s="906" t="s">
        <v>415</v>
      </c>
      <c r="AB299" s="906" t="s">
        <v>5</v>
      </c>
      <c r="AC299" s="906">
        <v>0.3</v>
      </c>
      <c r="AD299" s="906" t="s">
        <v>2</v>
      </c>
      <c r="AE299" s="906">
        <f>AC299*9686.683</f>
        <v>2906.0049000000004</v>
      </c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  <c r="AP299" s="123"/>
      <c r="AQ299" s="123"/>
      <c r="AR299" s="123"/>
    </row>
    <row r="300" spans="1:44" s="116" customFormat="1" ht="15.75" hidden="1" x14ac:dyDescent="0.2">
      <c r="A300" s="892"/>
      <c r="B300" s="906"/>
      <c r="C300" s="1140"/>
      <c r="D300" s="906"/>
      <c r="E300" s="1139"/>
      <c r="F300" s="906"/>
      <c r="G300" s="901"/>
      <c r="H300" s="906"/>
      <c r="I300" s="906"/>
      <c r="J300" s="906"/>
      <c r="K300" s="906"/>
      <c r="L300" s="906"/>
      <c r="M300" s="906"/>
      <c r="N300" s="906"/>
      <c r="O300" s="906"/>
      <c r="P300" s="906"/>
      <c r="Q300" s="906"/>
      <c r="R300" s="906"/>
      <c r="S300" s="906"/>
      <c r="T300" s="906"/>
      <c r="U300" s="906"/>
      <c r="V300" s="906"/>
      <c r="W300" s="892"/>
      <c r="X300" s="906"/>
      <c r="Y300" s="901"/>
      <c r="Z300" s="906"/>
      <c r="AA300" s="906"/>
      <c r="AB300" s="906"/>
      <c r="AC300" s="892">
        <v>1200</v>
      </c>
      <c r="AD300" s="906" t="s">
        <v>4</v>
      </c>
      <c r="AE300" s="90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  <c r="AP300" s="123"/>
      <c r="AQ300" s="123"/>
      <c r="AR300" s="123"/>
    </row>
    <row r="301" spans="1:44" s="116" customFormat="1" ht="48.2" hidden="1" customHeight="1" x14ac:dyDescent="0.2">
      <c r="A301" s="1821">
        <v>102</v>
      </c>
      <c r="B301" s="1374" t="s">
        <v>369</v>
      </c>
      <c r="C301" s="1389" t="s">
        <v>225</v>
      </c>
      <c r="D301" s="1374">
        <v>1.04</v>
      </c>
      <c r="E301" s="1470">
        <v>2159</v>
      </c>
      <c r="F301" s="1374">
        <v>1.04</v>
      </c>
      <c r="G301" s="1558">
        <v>2159</v>
      </c>
      <c r="H301" s="906"/>
      <c r="I301" s="906"/>
      <c r="J301" s="906"/>
      <c r="K301" s="906"/>
      <c r="L301" s="906"/>
      <c r="M301" s="906"/>
      <c r="N301" s="906"/>
      <c r="O301" s="906"/>
      <c r="P301" s="906"/>
      <c r="Q301" s="906"/>
      <c r="R301" s="906"/>
      <c r="S301" s="906"/>
      <c r="T301" s="906"/>
      <c r="U301" s="906"/>
      <c r="V301" s="906"/>
      <c r="W301" s="906"/>
      <c r="X301" s="906"/>
      <c r="Y301" s="901"/>
      <c r="Z301" s="1374" t="s">
        <v>441</v>
      </c>
      <c r="AA301" s="1374" t="s">
        <v>559</v>
      </c>
      <c r="AB301" s="1374" t="s">
        <v>5</v>
      </c>
      <c r="AC301" s="906"/>
      <c r="AD301" s="906" t="s">
        <v>2</v>
      </c>
      <c r="AE301" s="1374">
        <f>AC301*16950.467</f>
        <v>0</v>
      </c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  <c r="AP301" s="123"/>
      <c r="AQ301" s="123"/>
      <c r="AR301" s="1233" t="s">
        <v>1318</v>
      </c>
    </row>
    <row r="302" spans="1:44" s="116" customFormat="1" ht="38.65" hidden="1" customHeight="1" x14ac:dyDescent="0.2">
      <c r="A302" s="1822"/>
      <c r="B302" s="1375"/>
      <c r="C302" s="1390"/>
      <c r="D302" s="1375"/>
      <c r="E302" s="1471"/>
      <c r="F302" s="1375"/>
      <c r="G302" s="1271"/>
      <c r="H302" s="906"/>
      <c r="I302" s="906"/>
      <c r="J302" s="906"/>
      <c r="K302" s="906"/>
      <c r="L302" s="906"/>
      <c r="M302" s="906"/>
      <c r="N302" s="906"/>
      <c r="O302" s="906"/>
      <c r="P302" s="906"/>
      <c r="Q302" s="906"/>
      <c r="R302" s="906"/>
      <c r="S302" s="906"/>
      <c r="T302" s="906"/>
      <c r="U302" s="906"/>
      <c r="V302" s="906"/>
      <c r="W302" s="892"/>
      <c r="X302" s="906"/>
      <c r="Y302" s="901"/>
      <c r="Z302" s="1375"/>
      <c r="AA302" s="1375"/>
      <c r="AB302" s="1375"/>
      <c r="AC302" s="892"/>
      <c r="AD302" s="906" t="s">
        <v>4</v>
      </c>
      <c r="AE302" s="1375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  <c r="AP302" s="123"/>
      <c r="AQ302" s="123"/>
      <c r="AR302" s="1233"/>
    </row>
    <row r="303" spans="1:44" s="116" customFormat="1" ht="31.5" hidden="1" x14ac:dyDescent="0.2">
      <c r="A303" s="892">
        <f>A301+1</f>
        <v>103</v>
      </c>
      <c r="B303" s="906" t="s">
        <v>370</v>
      </c>
      <c r="C303" s="1140" t="s">
        <v>226</v>
      </c>
      <c r="D303" s="906">
        <v>0.42299999999999999</v>
      </c>
      <c r="E303" s="1139">
        <v>3477</v>
      </c>
      <c r="F303" s="906">
        <v>0.42299999999999999</v>
      </c>
      <c r="G303" s="901">
        <v>3477</v>
      </c>
      <c r="H303" s="906"/>
      <c r="I303" s="906"/>
      <c r="J303" s="906"/>
      <c r="K303" s="906"/>
      <c r="L303" s="906"/>
      <c r="M303" s="906"/>
      <c r="N303" s="906"/>
      <c r="O303" s="906"/>
      <c r="P303" s="906"/>
      <c r="Q303" s="906"/>
      <c r="R303" s="906"/>
      <c r="S303" s="906"/>
      <c r="T303" s="906"/>
      <c r="U303" s="906"/>
      <c r="V303" s="906"/>
      <c r="W303" s="906"/>
      <c r="X303" s="906"/>
      <c r="Y303" s="901"/>
      <c r="Z303" s="906" t="s">
        <v>416</v>
      </c>
      <c r="AA303" s="906" t="s">
        <v>417</v>
      </c>
      <c r="AB303" s="906" t="s">
        <v>5</v>
      </c>
      <c r="AC303" s="906">
        <v>0.42299999999999999</v>
      </c>
      <c r="AD303" s="906" t="s">
        <v>2</v>
      </c>
      <c r="AE303" s="906">
        <f>AC303*9686.683</f>
        <v>4097.4669090000007</v>
      </c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  <c r="AP303" s="123"/>
      <c r="AQ303" s="123"/>
      <c r="AR303" s="56"/>
    </row>
    <row r="304" spans="1:44" s="116" customFormat="1" ht="15.75" hidden="1" x14ac:dyDescent="0.2">
      <c r="A304" s="892"/>
      <c r="B304" s="906"/>
      <c r="C304" s="1140"/>
      <c r="D304" s="906"/>
      <c r="E304" s="1139"/>
      <c r="F304" s="906"/>
      <c r="G304" s="901"/>
      <c r="H304" s="906"/>
      <c r="I304" s="906"/>
      <c r="J304" s="906"/>
      <c r="K304" s="906"/>
      <c r="L304" s="906"/>
      <c r="M304" s="906"/>
      <c r="N304" s="906"/>
      <c r="O304" s="906"/>
      <c r="P304" s="906"/>
      <c r="Q304" s="906"/>
      <c r="R304" s="906"/>
      <c r="S304" s="906"/>
      <c r="T304" s="906"/>
      <c r="U304" s="906"/>
      <c r="V304" s="906"/>
      <c r="W304" s="892"/>
      <c r="X304" s="906"/>
      <c r="Y304" s="901"/>
      <c r="Z304" s="906"/>
      <c r="AA304" s="906"/>
      <c r="AB304" s="906"/>
      <c r="AC304" s="892">
        <v>3477</v>
      </c>
      <c r="AD304" s="906" t="s">
        <v>4</v>
      </c>
      <c r="AE304" s="90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  <c r="AP304" s="123"/>
      <c r="AQ304" s="123"/>
      <c r="AR304" s="56"/>
    </row>
    <row r="305" spans="1:44" s="116" customFormat="1" ht="31.15" hidden="1" customHeight="1" x14ac:dyDescent="0.2">
      <c r="A305" s="1821">
        <v>103</v>
      </c>
      <c r="B305" s="1370">
        <v>3407137</v>
      </c>
      <c r="C305" s="1389" t="s">
        <v>227</v>
      </c>
      <c r="D305" s="1374">
        <v>3.298</v>
      </c>
      <c r="E305" s="1470">
        <v>37091</v>
      </c>
      <c r="F305" s="1374">
        <v>3.298</v>
      </c>
      <c r="G305" s="1558">
        <v>37091</v>
      </c>
      <c r="H305" s="906"/>
      <c r="I305" s="906"/>
      <c r="J305" s="906"/>
      <c r="K305" s="906"/>
      <c r="L305" s="906"/>
      <c r="M305" s="906"/>
      <c r="N305" s="906"/>
      <c r="O305" s="906"/>
      <c r="P305" s="906"/>
      <c r="Q305" s="906"/>
      <c r="R305" s="906"/>
      <c r="S305" s="906"/>
      <c r="T305" s="906"/>
      <c r="U305" s="906"/>
      <c r="V305" s="906"/>
      <c r="W305" s="906"/>
      <c r="X305" s="906"/>
      <c r="Y305" s="901"/>
      <c r="Z305" s="1374" t="s">
        <v>441</v>
      </c>
      <c r="AA305" s="1374" t="s">
        <v>1320</v>
      </c>
      <c r="AB305" s="1374" t="s">
        <v>5</v>
      </c>
      <c r="AC305" s="906"/>
      <c r="AD305" s="906" t="s">
        <v>2</v>
      </c>
      <c r="AE305" s="1374">
        <f>AC305*16950.467</f>
        <v>0</v>
      </c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  <c r="AP305" s="123"/>
      <c r="AQ305" s="123"/>
      <c r="AR305" s="1233" t="s">
        <v>1319</v>
      </c>
    </row>
    <row r="306" spans="1:44" s="116" customFormat="1" ht="22.5" hidden="1" customHeight="1" x14ac:dyDescent="0.2">
      <c r="A306" s="1822"/>
      <c r="B306" s="1371"/>
      <c r="C306" s="1390"/>
      <c r="D306" s="1375"/>
      <c r="E306" s="1471"/>
      <c r="F306" s="1375"/>
      <c r="G306" s="1271"/>
      <c r="H306" s="906"/>
      <c r="I306" s="906"/>
      <c r="J306" s="906"/>
      <c r="K306" s="906"/>
      <c r="L306" s="906"/>
      <c r="M306" s="906"/>
      <c r="N306" s="906"/>
      <c r="O306" s="906"/>
      <c r="P306" s="906"/>
      <c r="Q306" s="906"/>
      <c r="R306" s="906"/>
      <c r="S306" s="906"/>
      <c r="T306" s="906"/>
      <c r="U306" s="906"/>
      <c r="V306" s="906"/>
      <c r="W306" s="892"/>
      <c r="X306" s="906"/>
      <c r="Y306" s="901"/>
      <c r="Z306" s="1375"/>
      <c r="AA306" s="1375"/>
      <c r="AB306" s="1375"/>
      <c r="AC306" s="892"/>
      <c r="AD306" s="906" t="s">
        <v>4</v>
      </c>
      <c r="AE306" s="1375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  <c r="AP306" s="123"/>
      <c r="AQ306" s="123"/>
      <c r="AR306" s="1233"/>
    </row>
    <row r="307" spans="1:44" s="116" customFormat="1" ht="31.5" hidden="1" x14ac:dyDescent="0.2">
      <c r="A307" s="892">
        <f>A305+1</f>
        <v>104</v>
      </c>
      <c r="B307" s="906" t="s">
        <v>371</v>
      </c>
      <c r="C307" s="1140" t="s">
        <v>228</v>
      </c>
      <c r="D307" s="906">
        <v>0.36599999999999999</v>
      </c>
      <c r="E307" s="1139">
        <v>4506</v>
      </c>
      <c r="F307" s="906">
        <v>0.36599999999999999</v>
      </c>
      <c r="G307" s="901">
        <v>4506</v>
      </c>
      <c r="H307" s="906"/>
      <c r="I307" s="906"/>
      <c r="J307" s="906"/>
      <c r="K307" s="906"/>
      <c r="L307" s="906"/>
      <c r="M307" s="906"/>
      <c r="N307" s="906"/>
      <c r="O307" s="906"/>
      <c r="P307" s="906"/>
      <c r="Q307" s="906"/>
      <c r="R307" s="906"/>
      <c r="S307" s="906"/>
      <c r="T307" s="906"/>
      <c r="U307" s="906"/>
      <c r="V307" s="906"/>
      <c r="W307" s="906"/>
      <c r="X307" s="906"/>
      <c r="Y307" s="901"/>
      <c r="Z307" s="906" t="s">
        <v>419</v>
      </c>
      <c r="AA307" s="906" t="s">
        <v>416</v>
      </c>
      <c r="AB307" s="906" t="s">
        <v>5</v>
      </c>
      <c r="AC307" s="906">
        <v>0.36599999999999999</v>
      </c>
      <c r="AD307" s="906" t="s">
        <v>2</v>
      </c>
      <c r="AE307" s="906">
        <f>AC307*9686.683</f>
        <v>3545.3259780000003</v>
      </c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  <c r="AP307" s="123"/>
      <c r="AQ307" s="123"/>
      <c r="AR307" s="56"/>
    </row>
    <row r="308" spans="1:44" s="116" customFormat="1" ht="15.75" hidden="1" x14ac:dyDescent="0.2">
      <c r="A308" s="892"/>
      <c r="B308" s="906"/>
      <c r="C308" s="1140"/>
      <c r="D308" s="906"/>
      <c r="E308" s="1139"/>
      <c r="F308" s="906"/>
      <c r="G308" s="901"/>
      <c r="H308" s="906"/>
      <c r="I308" s="906"/>
      <c r="J308" s="906"/>
      <c r="K308" s="906"/>
      <c r="L308" s="906"/>
      <c r="M308" s="906"/>
      <c r="N308" s="906"/>
      <c r="O308" s="906"/>
      <c r="P308" s="906"/>
      <c r="Q308" s="906"/>
      <c r="R308" s="906"/>
      <c r="S308" s="906"/>
      <c r="T308" s="906"/>
      <c r="U308" s="906"/>
      <c r="V308" s="906"/>
      <c r="W308" s="892"/>
      <c r="X308" s="906"/>
      <c r="Y308" s="901"/>
      <c r="Z308" s="906"/>
      <c r="AA308" s="906"/>
      <c r="AB308" s="906"/>
      <c r="AC308" s="892">
        <v>4506</v>
      </c>
      <c r="AD308" s="906" t="s">
        <v>4</v>
      </c>
      <c r="AE308" s="90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  <c r="AP308" s="123"/>
      <c r="AQ308" s="123"/>
      <c r="AR308" s="56"/>
    </row>
    <row r="309" spans="1:44" s="116" customFormat="1" ht="31.5" hidden="1" x14ac:dyDescent="0.2">
      <c r="A309" s="892">
        <f>A307+1</f>
        <v>105</v>
      </c>
      <c r="B309" s="906" t="s">
        <v>372</v>
      </c>
      <c r="C309" s="1140" t="s">
        <v>229</v>
      </c>
      <c r="D309" s="906">
        <v>0.24</v>
      </c>
      <c r="E309" s="1139">
        <v>1175</v>
      </c>
      <c r="F309" s="906">
        <v>0.24</v>
      </c>
      <c r="G309" s="901">
        <v>1175</v>
      </c>
      <c r="H309" s="906"/>
      <c r="I309" s="906"/>
      <c r="J309" s="906"/>
      <c r="K309" s="906"/>
      <c r="L309" s="906"/>
      <c r="M309" s="906"/>
      <c r="N309" s="906"/>
      <c r="O309" s="906"/>
      <c r="P309" s="906"/>
      <c r="Q309" s="906"/>
      <c r="R309" s="906"/>
      <c r="S309" s="906"/>
      <c r="T309" s="906"/>
      <c r="U309" s="906"/>
      <c r="V309" s="906"/>
      <c r="W309" s="906"/>
      <c r="X309" s="906"/>
      <c r="Y309" s="901"/>
      <c r="Z309" s="906" t="s">
        <v>420</v>
      </c>
      <c r="AA309" s="906" t="s">
        <v>421</v>
      </c>
      <c r="AB309" s="906" t="s">
        <v>5</v>
      </c>
      <c r="AC309" s="906">
        <v>0.24</v>
      </c>
      <c r="AD309" s="906" t="s">
        <v>2</v>
      </c>
      <c r="AE309" s="906">
        <f>AC309*9686.683</f>
        <v>2324.8039200000003</v>
      </c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56"/>
    </row>
    <row r="310" spans="1:44" s="116" customFormat="1" ht="15.75" hidden="1" x14ac:dyDescent="0.2">
      <c r="A310" s="892"/>
      <c r="B310" s="906"/>
      <c r="C310" s="1140"/>
      <c r="D310" s="906"/>
      <c r="E310" s="1139"/>
      <c r="F310" s="906"/>
      <c r="G310" s="901"/>
      <c r="H310" s="906"/>
      <c r="I310" s="906"/>
      <c r="J310" s="906"/>
      <c r="K310" s="906"/>
      <c r="L310" s="906"/>
      <c r="M310" s="906"/>
      <c r="N310" s="906"/>
      <c r="O310" s="906"/>
      <c r="P310" s="906"/>
      <c r="Q310" s="906"/>
      <c r="R310" s="906"/>
      <c r="S310" s="906"/>
      <c r="T310" s="906"/>
      <c r="U310" s="906"/>
      <c r="V310" s="906"/>
      <c r="W310" s="892"/>
      <c r="X310" s="906"/>
      <c r="Y310" s="901"/>
      <c r="Z310" s="906"/>
      <c r="AA310" s="906"/>
      <c r="AB310" s="906"/>
      <c r="AC310" s="892">
        <v>1175</v>
      </c>
      <c r="AD310" s="906" t="s">
        <v>4</v>
      </c>
      <c r="AE310" s="90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  <c r="AP310" s="123"/>
      <c r="AQ310" s="123"/>
      <c r="AR310" s="56"/>
    </row>
    <row r="311" spans="1:44" s="116" customFormat="1" ht="32.1" hidden="1" customHeight="1" x14ac:dyDescent="0.2">
      <c r="A311" s="1821">
        <v>54</v>
      </c>
      <c r="B311" s="1374" t="s">
        <v>373</v>
      </c>
      <c r="C311" s="1389" t="s">
        <v>230</v>
      </c>
      <c r="D311" s="1374">
        <v>3.923</v>
      </c>
      <c r="E311" s="1470">
        <v>40415</v>
      </c>
      <c r="F311" s="1374">
        <v>3.923</v>
      </c>
      <c r="G311" s="1558">
        <v>40415</v>
      </c>
      <c r="H311" s="906"/>
      <c r="I311" s="906"/>
      <c r="J311" s="906"/>
      <c r="K311" s="906"/>
      <c r="L311" s="906"/>
      <c r="M311" s="906"/>
      <c r="N311" s="906"/>
      <c r="O311" s="906"/>
      <c r="P311" s="906"/>
      <c r="Q311" s="906"/>
      <c r="R311" s="906"/>
      <c r="S311" s="906"/>
      <c r="T311" s="1374" t="s">
        <v>441</v>
      </c>
      <c r="U311" s="1374" t="s">
        <v>1425</v>
      </c>
      <c r="V311" s="1374" t="s">
        <v>5</v>
      </c>
      <c r="W311" s="906"/>
      <c r="X311" s="906" t="s">
        <v>2</v>
      </c>
      <c r="Y311" s="1374"/>
      <c r="Z311" s="460"/>
      <c r="AA311" s="460"/>
      <c r="AB311" s="460"/>
      <c r="AC311" s="906"/>
      <c r="AD311" s="906"/>
      <c r="AE311" s="57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123"/>
      <c r="AR311" s="1233" t="s">
        <v>1321</v>
      </c>
    </row>
    <row r="312" spans="1:44" s="116" customFormat="1" ht="27" hidden="1" customHeight="1" x14ac:dyDescent="0.2">
      <c r="A312" s="1822"/>
      <c r="B312" s="1375"/>
      <c r="C312" s="1390"/>
      <c r="D312" s="1375"/>
      <c r="E312" s="1471"/>
      <c r="F312" s="1375"/>
      <c r="G312" s="1271"/>
      <c r="H312" s="906"/>
      <c r="I312" s="906"/>
      <c r="J312" s="906"/>
      <c r="K312" s="906"/>
      <c r="L312" s="906"/>
      <c r="M312" s="906"/>
      <c r="N312" s="906"/>
      <c r="O312" s="906"/>
      <c r="P312" s="906"/>
      <c r="Q312" s="906"/>
      <c r="R312" s="906"/>
      <c r="S312" s="906"/>
      <c r="T312" s="1375"/>
      <c r="U312" s="1375"/>
      <c r="V312" s="1375"/>
      <c r="W312" s="892"/>
      <c r="X312" s="906" t="s">
        <v>4</v>
      </c>
      <c r="Y312" s="1375"/>
      <c r="Z312" s="460"/>
      <c r="AA312" s="460"/>
      <c r="AB312" s="460"/>
      <c r="AC312" s="892"/>
      <c r="AD312" s="906"/>
      <c r="AE312" s="57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3"/>
    </row>
    <row r="313" spans="1:44" s="116" customFormat="1" ht="31.5" hidden="1" x14ac:dyDescent="0.2">
      <c r="A313" s="892">
        <f>A311+1</f>
        <v>55</v>
      </c>
      <c r="B313" s="906" t="s">
        <v>422</v>
      </c>
      <c r="C313" s="1140" t="s">
        <v>231</v>
      </c>
      <c r="D313" s="906">
        <v>0.49199999999999999</v>
      </c>
      <c r="E313" s="1139">
        <v>1950</v>
      </c>
      <c r="F313" s="906">
        <v>0.49199999999999999</v>
      </c>
      <c r="G313" s="901">
        <v>1950</v>
      </c>
      <c r="H313" s="906"/>
      <c r="I313" s="906"/>
      <c r="J313" s="906"/>
      <c r="K313" s="906"/>
      <c r="L313" s="906"/>
      <c r="M313" s="906"/>
      <c r="N313" s="906"/>
      <c r="O313" s="906"/>
      <c r="P313" s="906"/>
      <c r="Q313" s="906"/>
      <c r="R313" s="906"/>
      <c r="S313" s="906"/>
      <c r="T313" s="906"/>
      <c r="U313" s="906"/>
      <c r="V313" s="906"/>
      <c r="W313" s="906"/>
      <c r="X313" s="906"/>
      <c r="Y313" s="901"/>
      <c r="Z313" s="906" t="s">
        <v>418</v>
      </c>
      <c r="AA313" s="906" t="s">
        <v>423</v>
      </c>
      <c r="AB313" s="906" t="s">
        <v>5</v>
      </c>
      <c r="AC313" s="906">
        <v>0.49199999999999999</v>
      </c>
      <c r="AD313" s="906" t="s">
        <v>2</v>
      </c>
      <c r="AE313" s="906">
        <f>AC313*9686.683</f>
        <v>4765.8480360000003</v>
      </c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  <c r="AP313" s="123"/>
      <c r="AQ313" s="123"/>
      <c r="AR313" s="56"/>
    </row>
    <row r="314" spans="1:44" s="116" customFormat="1" ht="15.75" hidden="1" x14ac:dyDescent="0.2">
      <c r="A314" s="892"/>
      <c r="B314" s="906"/>
      <c r="C314" s="1140"/>
      <c r="D314" s="906"/>
      <c r="E314" s="1139"/>
      <c r="F314" s="906"/>
      <c r="G314" s="901"/>
      <c r="H314" s="906"/>
      <c r="I314" s="906"/>
      <c r="J314" s="906"/>
      <c r="K314" s="906"/>
      <c r="L314" s="906"/>
      <c r="M314" s="906"/>
      <c r="N314" s="906"/>
      <c r="O314" s="906"/>
      <c r="P314" s="906"/>
      <c r="Q314" s="906"/>
      <c r="R314" s="906"/>
      <c r="S314" s="906"/>
      <c r="T314" s="906"/>
      <c r="U314" s="906"/>
      <c r="V314" s="906"/>
      <c r="W314" s="892"/>
      <c r="X314" s="906"/>
      <c r="Y314" s="901"/>
      <c r="Z314" s="906"/>
      <c r="AA314" s="906"/>
      <c r="AB314" s="906"/>
      <c r="AC314" s="892">
        <v>1950</v>
      </c>
      <c r="AD314" s="906" t="s">
        <v>4</v>
      </c>
      <c r="AE314" s="90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  <c r="AP314" s="123"/>
      <c r="AQ314" s="123"/>
      <c r="AR314" s="56"/>
    </row>
    <row r="315" spans="1:44" s="116" customFormat="1" ht="47.25" hidden="1" x14ac:dyDescent="0.2">
      <c r="A315" s="892">
        <f>A313+1</f>
        <v>56</v>
      </c>
      <c r="B315" s="906" t="s">
        <v>374</v>
      </c>
      <c r="C315" s="1140" t="s">
        <v>424</v>
      </c>
      <c r="D315" s="906">
        <v>0.26600000000000001</v>
      </c>
      <c r="E315" s="1139">
        <v>1967</v>
      </c>
      <c r="F315" s="906">
        <v>0.26600000000000001</v>
      </c>
      <c r="G315" s="901">
        <v>1967</v>
      </c>
      <c r="H315" s="906"/>
      <c r="I315" s="906"/>
      <c r="J315" s="906"/>
      <c r="K315" s="906"/>
      <c r="L315" s="906"/>
      <c r="M315" s="906"/>
      <c r="N315" s="906"/>
      <c r="O315" s="906"/>
      <c r="P315" s="906"/>
      <c r="Q315" s="906"/>
      <c r="R315" s="906"/>
      <c r="S315" s="906"/>
      <c r="T315" s="906"/>
      <c r="U315" s="906"/>
      <c r="V315" s="906"/>
      <c r="W315" s="906"/>
      <c r="X315" s="906"/>
      <c r="Y315" s="901"/>
      <c r="Z315" s="906" t="s">
        <v>425</v>
      </c>
      <c r="AA315" s="906" t="s">
        <v>426</v>
      </c>
      <c r="AB315" s="906" t="s">
        <v>5</v>
      </c>
      <c r="AC315" s="906">
        <v>0.26600000000000001</v>
      </c>
      <c r="AD315" s="906" t="s">
        <v>2</v>
      </c>
      <c r="AE315" s="906">
        <f>AC315*9686.683</f>
        <v>2576.6576780000005</v>
      </c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56"/>
    </row>
    <row r="316" spans="1:44" s="116" customFormat="1" ht="15.75" hidden="1" x14ac:dyDescent="0.2">
      <c r="A316" s="892"/>
      <c r="B316" s="906"/>
      <c r="C316" s="1140"/>
      <c r="D316" s="906"/>
      <c r="E316" s="1139"/>
      <c r="F316" s="906"/>
      <c r="G316" s="901"/>
      <c r="H316" s="906"/>
      <c r="I316" s="906"/>
      <c r="J316" s="906"/>
      <c r="K316" s="906"/>
      <c r="L316" s="906"/>
      <c r="M316" s="906"/>
      <c r="N316" s="906"/>
      <c r="O316" s="906"/>
      <c r="P316" s="906"/>
      <c r="Q316" s="906"/>
      <c r="R316" s="906"/>
      <c r="S316" s="906"/>
      <c r="T316" s="906"/>
      <c r="U316" s="906"/>
      <c r="V316" s="906"/>
      <c r="W316" s="892"/>
      <c r="X316" s="906"/>
      <c r="Y316" s="901"/>
      <c r="Z316" s="906"/>
      <c r="AA316" s="906"/>
      <c r="AB316" s="906"/>
      <c r="AC316" s="892">
        <v>1967</v>
      </c>
      <c r="AD316" s="906" t="s">
        <v>4</v>
      </c>
      <c r="AE316" s="90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  <c r="AP316" s="123"/>
      <c r="AQ316" s="123"/>
      <c r="AR316" s="56"/>
    </row>
    <row r="317" spans="1:44" s="116" customFormat="1" ht="78.75" hidden="1" x14ac:dyDescent="0.2">
      <c r="A317" s="892">
        <f>A315+1</f>
        <v>57</v>
      </c>
      <c r="B317" s="906" t="s">
        <v>375</v>
      </c>
      <c r="C317" s="1140" t="s">
        <v>232</v>
      </c>
      <c r="D317" s="906">
        <v>0.68500000000000005</v>
      </c>
      <c r="E317" s="1139">
        <v>2945</v>
      </c>
      <c r="F317" s="906">
        <v>0.68500000000000005</v>
      </c>
      <c r="G317" s="901">
        <v>2945</v>
      </c>
      <c r="H317" s="906"/>
      <c r="I317" s="906"/>
      <c r="J317" s="906"/>
      <c r="K317" s="906"/>
      <c r="L317" s="906"/>
      <c r="M317" s="906"/>
      <c r="N317" s="906"/>
      <c r="O317" s="906"/>
      <c r="P317" s="906"/>
      <c r="Q317" s="906"/>
      <c r="R317" s="906"/>
      <c r="S317" s="906"/>
      <c r="T317" s="906"/>
      <c r="U317" s="906"/>
      <c r="V317" s="906"/>
      <c r="W317" s="906"/>
      <c r="X317" s="906"/>
      <c r="Y317" s="901"/>
      <c r="Z317" s="906" t="s">
        <v>427</v>
      </c>
      <c r="AA317" s="906" t="s">
        <v>428</v>
      </c>
      <c r="AB317" s="906" t="s">
        <v>5</v>
      </c>
      <c r="AC317" s="906">
        <v>0.68500000000000005</v>
      </c>
      <c r="AD317" s="906" t="s">
        <v>2</v>
      </c>
      <c r="AE317" s="906">
        <f>AC317*9686.683</f>
        <v>6635.3778550000015</v>
      </c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  <c r="AP317" s="123"/>
      <c r="AQ317" s="123"/>
      <c r="AR317" s="56"/>
    </row>
    <row r="318" spans="1:44" s="116" customFormat="1" ht="15.75" hidden="1" x14ac:dyDescent="0.2">
      <c r="A318" s="892"/>
      <c r="B318" s="906"/>
      <c r="C318" s="1140"/>
      <c r="D318" s="906"/>
      <c r="E318" s="1139"/>
      <c r="F318" s="906"/>
      <c r="G318" s="901"/>
      <c r="H318" s="906"/>
      <c r="I318" s="906"/>
      <c r="J318" s="906"/>
      <c r="K318" s="906"/>
      <c r="L318" s="906"/>
      <c r="M318" s="906"/>
      <c r="N318" s="906"/>
      <c r="O318" s="906"/>
      <c r="P318" s="906"/>
      <c r="Q318" s="906"/>
      <c r="R318" s="906"/>
      <c r="S318" s="906"/>
      <c r="T318" s="906"/>
      <c r="U318" s="906"/>
      <c r="V318" s="906"/>
      <c r="W318" s="892"/>
      <c r="X318" s="906"/>
      <c r="Y318" s="901"/>
      <c r="Z318" s="906"/>
      <c r="AA318" s="906"/>
      <c r="AB318" s="906"/>
      <c r="AC318" s="892">
        <v>2945</v>
      </c>
      <c r="AD318" s="906" t="s">
        <v>4</v>
      </c>
      <c r="AE318" s="90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  <c r="AP318" s="123"/>
      <c r="AQ318" s="123"/>
      <c r="AR318" s="56"/>
    </row>
    <row r="319" spans="1:44" s="116" customFormat="1" ht="31.5" hidden="1" x14ac:dyDescent="0.2">
      <c r="A319" s="892">
        <f>A317+1</f>
        <v>58</v>
      </c>
      <c r="B319" s="906" t="s">
        <v>376</v>
      </c>
      <c r="C319" s="1140" t="s">
        <v>233</v>
      </c>
      <c r="D319" s="906">
        <v>0.3</v>
      </c>
      <c r="E319" s="1139">
        <v>1200</v>
      </c>
      <c r="F319" s="906">
        <v>0.3</v>
      </c>
      <c r="G319" s="901">
        <v>1200</v>
      </c>
      <c r="H319" s="906"/>
      <c r="I319" s="906"/>
      <c r="J319" s="906"/>
      <c r="K319" s="906"/>
      <c r="L319" s="906"/>
      <c r="M319" s="906"/>
      <c r="N319" s="906"/>
      <c r="O319" s="906"/>
      <c r="P319" s="906"/>
      <c r="Q319" s="906"/>
      <c r="R319" s="906"/>
      <c r="S319" s="906"/>
      <c r="T319" s="906"/>
      <c r="U319" s="906"/>
      <c r="V319" s="906"/>
      <c r="W319" s="906"/>
      <c r="X319" s="906"/>
      <c r="Y319" s="901"/>
      <c r="Z319" s="906" t="s">
        <v>414</v>
      </c>
      <c r="AA319" s="906" t="s">
        <v>429</v>
      </c>
      <c r="AB319" s="906" t="s">
        <v>5</v>
      </c>
      <c r="AC319" s="906">
        <v>0.3</v>
      </c>
      <c r="AD319" s="906" t="s">
        <v>2</v>
      </c>
      <c r="AE319" s="906">
        <f>AC319*9686.683</f>
        <v>2906.0049000000004</v>
      </c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  <c r="AP319" s="123"/>
      <c r="AQ319" s="123"/>
      <c r="AR319" s="56"/>
    </row>
    <row r="320" spans="1:44" s="116" customFormat="1" ht="15.75" hidden="1" x14ac:dyDescent="0.2">
      <c r="A320" s="892"/>
      <c r="B320" s="906"/>
      <c r="C320" s="1140"/>
      <c r="D320" s="906"/>
      <c r="E320" s="1139"/>
      <c r="F320" s="906"/>
      <c r="G320" s="901"/>
      <c r="H320" s="906"/>
      <c r="I320" s="906"/>
      <c r="J320" s="906"/>
      <c r="K320" s="906"/>
      <c r="L320" s="906"/>
      <c r="M320" s="906"/>
      <c r="N320" s="906"/>
      <c r="O320" s="906"/>
      <c r="P320" s="906"/>
      <c r="Q320" s="906"/>
      <c r="R320" s="906"/>
      <c r="S320" s="906"/>
      <c r="T320" s="906"/>
      <c r="U320" s="906"/>
      <c r="V320" s="906"/>
      <c r="W320" s="892"/>
      <c r="X320" s="906"/>
      <c r="Y320" s="901"/>
      <c r="Z320" s="906"/>
      <c r="AA320" s="906"/>
      <c r="AB320" s="906"/>
      <c r="AC320" s="892">
        <v>1200</v>
      </c>
      <c r="AD320" s="906" t="s">
        <v>4</v>
      </c>
      <c r="AE320" s="90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  <c r="AP320" s="123"/>
      <c r="AQ320" s="123"/>
      <c r="AR320" s="56"/>
    </row>
    <row r="321" spans="1:44" s="116" customFormat="1" ht="27" customHeight="1" x14ac:dyDescent="0.2">
      <c r="A321" s="1821">
        <v>54</v>
      </c>
      <c r="B321" s="1285" t="s">
        <v>782</v>
      </c>
      <c r="C321" s="1343" t="s">
        <v>783</v>
      </c>
      <c r="D321" s="1817">
        <v>1.0449999999999999</v>
      </c>
      <c r="E321" s="1470">
        <f>AC322/AC321*D321</f>
        <v>8754.661666666665</v>
      </c>
      <c r="F321" s="1817">
        <v>1.0449999999999999</v>
      </c>
      <c r="G321" s="1470">
        <f>E321</f>
        <v>8754.661666666665</v>
      </c>
      <c r="H321" s="906"/>
      <c r="I321" s="906"/>
      <c r="J321" s="906"/>
      <c r="K321" s="906"/>
      <c r="L321" s="906"/>
      <c r="M321" s="906"/>
      <c r="N321" s="906"/>
      <c r="O321" s="906"/>
      <c r="P321" s="906"/>
      <c r="Q321" s="906"/>
      <c r="R321" s="906"/>
      <c r="S321" s="906"/>
      <c r="T321" s="906"/>
      <c r="U321" s="906"/>
      <c r="V321" s="906"/>
      <c r="W321" s="906"/>
      <c r="X321" s="906"/>
      <c r="Y321" s="901"/>
      <c r="Z321" s="1374" t="s">
        <v>441</v>
      </c>
      <c r="AA321" s="1374" t="s">
        <v>1546</v>
      </c>
      <c r="AB321" s="1374" t="s">
        <v>5</v>
      </c>
      <c r="AC321" s="906">
        <v>1.05</v>
      </c>
      <c r="AD321" s="906" t="s">
        <v>2</v>
      </c>
      <c r="AE321" s="1374">
        <v>13525.922629999999</v>
      </c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  <c r="AP321" s="123"/>
      <c r="AQ321" s="123"/>
      <c r="AR321" s="1233" t="s">
        <v>1322</v>
      </c>
    </row>
    <row r="322" spans="1:44" s="116" customFormat="1" ht="21.75" customHeight="1" x14ac:dyDescent="0.2">
      <c r="A322" s="1822"/>
      <c r="B322" s="1213"/>
      <c r="C322" s="1273"/>
      <c r="D322" s="1818"/>
      <c r="E322" s="1471"/>
      <c r="F322" s="1818"/>
      <c r="G322" s="1471"/>
      <c r="H322" s="906"/>
      <c r="I322" s="906"/>
      <c r="J322" s="906"/>
      <c r="K322" s="906"/>
      <c r="L322" s="906"/>
      <c r="M322" s="906"/>
      <c r="N322" s="906"/>
      <c r="O322" s="906"/>
      <c r="P322" s="906"/>
      <c r="Q322" s="906"/>
      <c r="R322" s="906"/>
      <c r="S322" s="906"/>
      <c r="T322" s="906"/>
      <c r="U322" s="906"/>
      <c r="V322" s="906"/>
      <c r="W322" s="892"/>
      <c r="X322" s="906"/>
      <c r="Y322" s="901"/>
      <c r="Z322" s="1375"/>
      <c r="AA322" s="1375"/>
      <c r="AB322" s="1375"/>
      <c r="AC322" s="897">
        <v>8796.5499999999993</v>
      </c>
      <c r="AD322" s="906" t="s">
        <v>4</v>
      </c>
      <c r="AE322" s="1375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  <c r="AP322" s="123"/>
      <c r="AQ322" s="123"/>
      <c r="AR322" s="1233"/>
    </row>
    <row r="323" spans="1:44" s="116" customFormat="1" ht="31.5" hidden="1" x14ac:dyDescent="0.2">
      <c r="A323" s="892">
        <f>A321+1</f>
        <v>55</v>
      </c>
      <c r="B323" s="906" t="s">
        <v>379</v>
      </c>
      <c r="C323" s="1140" t="s">
        <v>238</v>
      </c>
      <c r="D323" s="906">
        <v>0.5</v>
      </c>
      <c r="E323" s="1139">
        <v>4605</v>
      </c>
      <c r="F323" s="906">
        <v>0.5</v>
      </c>
      <c r="G323" s="901">
        <v>4605</v>
      </c>
      <c r="H323" s="906"/>
      <c r="I323" s="906"/>
      <c r="J323" s="906"/>
      <c r="K323" s="906"/>
      <c r="L323" s="906"/>
      <c r="M323" s="906"/>
      <c r="N323" s="906"/>
      <c r="O323" s="906"/>
      <c r="P323" s="906"/>
      <c r="Q323" s="906"/>
      <c r="R323" s="906"/>
      <c r="S323" s="906"/>
      <c r="T323" s="906"/>
      <c r="U323" s="906"/>
      <c r="V323" s="906"/>
      <c r="W323" s="906"/>
      <c r="X323" s="906"/>
      <c r="Y323" s="901"/>
      <c r="Z323" s="906" t="s">
        <v>430</v>
      </c>
      <c r="AA323" s="906" t="s">
        <v>431</v>
      </c>
      <c r="AB323" s="906" t="s">
        <v>5</v>
      </c>
      <c r="AC323" s="906">
        <v>0.5</v>
      </c>
      <c r="AD323" s="906" t="s">
        <v>2</v>
      </c>
      <c r="AE323" s="906">
        <f>AC323*9686.683</f>
        <v>4843.3415000000005</v>
      </c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  <c r="AP323" s="123"/>
      <c r="AQ323" s="123"/>
      <c r="AR323" s="56"/>
    </row>
    <row r="324" spans="1:44" s="116" customFormat="1" ht="15.75" hidden="1" x14ac:dyDescent="0.2">
      <c r="A324" s="892"/>
      <c r="B324" s="906"/>
      <c r="C324" s="1140"/>
      <c r="D324" s="906"/>
      <c r="E324" s="1139"/>
      <c r="F324" s="906"/>
      <c r="G324" s="901"/>
      <c r="H324" s="906"/>
      <c r="I324" s="906"/>
      <c r="J324" s="906"/>
      <c r="K324" s="906"/>
      <c r="L324" s="906"/>
      <c r="M324" s="906"/>
      <c r="N324" s="906"/>
      <c r="O324" s="906"/>
      <c r="P324" s="906"/>
      <c r="Q324" s="906"/>
      <c r="R324" s="906"/>
      <c r="S324" s="906"/>
      <c r="T324" s="906"/>
      <c r="U324" s="906"/>
      <c r="V324" s="906"/>
      <c r="W324" s="892"/>
      <c r="X324" s="906"/>
      <c r="Y324" s="901"/>
      <c r="Z324" s="906"/>
      <c r="AA324" s="906"/>
      <c r="AB324" s="906"/>
      <c r="AC324" s="892">
        <v>4605</v>
      </c>
      <c r="AD324" s="906" t="s">
        <v>4</v>
      </c>
      <c r="AE324" s="90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3"/>
      <c r="AR324" s="56"/>
    </row>
    <row r="325" spans="1:44" s="116" customFormat="1" ht="63" hidden="1" x14ac:dyDescent="0.2">
      <c r="A325" s="892">
        <v>114</v>
      </c>
      <c r="B325" s="906" t="s">
        <v>381</v>
      </c>
      <c r="C325" s="1140" t="s">
        <v>240</v>
      </c>
      <c r="D325" s="906">
        <v>0.65400000000000003</v>
      </c>
      <c r="E325" s="1139">
        <v>3546</v>
      </c>
      <c r="F325" s="906">
        <v>0.65400000000000003</v>
      </c>
      <c r="G325" s="901">
        <v>3546</v>
      </c>
      <c r="H325" s="906"/>
      <c r="I325" s="906"/>
      <c r="J325" s="906"/>
      <c r="K325" s="906"/>
      <c r="L325" s="906"/>
      <c r="M325" s="906"/>
      <c r="N325" s="906"/>
      <c r="O325" s="906"/>
      <c r="P325" s="906"/>
      <c r="Q325" s="906"/>
      <c r="R325" s="906"/>
      <c r="S325" s="906"/>
      <c r="T325" s="906"/>
      <c r="U325" s="906"/>
      <c r="V325" s="906"/>
      <c r="W325" s="906"/>
      <c r="X325" s="906"/>
      <c r="Y325" s="901"/>
      <c r="Z325" s="906" t="s">
        <v>432</v>
      </c>
      <c r="AA325" s="906" t="s">
        <v>404</v>
      </c>
      <c r="AB325" s="906" t="s">
        <v>5</v>
      </c>
      <c r="AC325" s="906">
        <v>0.45400000000000001</v>
      </c>
      <c r="AD325" s="906" t="s">
        <v>2</v>
      </c>
      <c r="AE325" s="906">
        <f>AC325*9686.683</f>
        <v>4397.7540820000004</v>
      </c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  <c r="AP325" s="123"/>
      <c r="AQ325" s="123"/>
      <c r="AR325" s="56"/>
    </row>
    <row r="326" spans="1:44" s="116" customFormat="1" ht="15.75" hidden="1" x14ac:dyDescent="0.2">
      <c r="A326" s="892"/>
      <c r="B326" s="906"/>
      <c r="C326" s="1140"/>
      <c r="D326" s="906"/>
      <c r="E326" s="1139"/>
      <c r="F326" s="906"/>
      <c r="G326" s="901"/>
      <c r="H326" s="906"/>
      <c r="I326" s="906"/>
      <c r="J326" s="906"/>
      <c r="K326" s="906"/>
      <c r="L326" s="906"/>
      <c r="M326" s="906"/>
      <c r="N326" s="906"/>
      <c r="O326" s="906"/>
      <c r="P326" s="906"/>
      <c r="Q326" s="906"/>
      <c r="R326" s="906"/>
      <c r="S326" s="906"/>
      <c r="T326" s="906"/>
      <c r="U326" s="906"/>
      <c r="V326" s="906"/>
      <c r="W326" s="892"/>
      <c r="X326" s="906"/>
      <c r="Y326" s="901"/>
      <c r="Z326" s="906"/>
      <c r="AA326" s="906"/>
      <c r="AB326" s="906"/>
      <c r="AC326" s="892">
        <v>2462</v>
      </c>
      <c r="AD326" s="906" t="s">
        <v>4</v>
      </c>
      <c r="AE326" s="90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56"/>
    </row>
    <row r="327" spans="1:44" s="116" customFormat="1" ht="47.25" hidden="1" x14ac:dyDescent="0.2">
      <c r="A327" s="892">
        <f>A325+1</f>
        <v>115</v>
      </c>
      <c r="B327" s="906" t="s">
        <v>382</v>
      </c>
      <c r="C327" s="1140" t="s">
        <v>241</v>
      </c>
      <c r="D327" s="906">
        <v>0.59399999999999997</v>
      </c>
      <c r="E327" s="1139">
        <v>2737</v>
      </c>
      <c r="F327" s="906">
        <v>0.59399999999999997</v>
      </c>
      <c r="G327" s="901">
        <v>2737</v>
      </c>
      <c r="H327" s="906"/>
      <c r="I327" s="906"/>
      <c r="J327" s="906"/>
      <c r="K327" s="906"/>
      <c r="L327" s="906"/>
      <c r="M327" s="906"/>
      <c r="N327" s="906"/>
      <c r="O327" s="906"/>
      <c r="P327" s="906"/>
      <c r="Q327" s="906"/>
      <c r="R327" s="906"/>
      <c r="S327" s="906"/>
      <c r="T327" s="906"/>
      <c r="U327" s="906"/>
      <c r="V327" s="906"/>
      <c r="W327" s="906"/>
      <c r="X327" s="906"/>
      <c r="Y327" s="901"/>
      <c r="Z327" s="906" t="s">
        <v>433</v>
      </c>
      <c r="AA327" s="906" t="s">
        <v>434</v>
      </c>
      <c r="AB327" s="906" t="s">
        <v>5</v>
      </c>
      <c r="AC327" s="906">
        <v>0.59399999999999997</v>
      </c>
      <c r="AD327" s="906" t="s">
        <v>2</v>
      </c>
      <c r="AE327" s="906">
        <f>AC327*9686.683</f>
        <v>5753.8897020000004</v>
      </c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  <c r="AP327" s="123"/>
      <c r="AQ327" s="123"/>
      <c r="AR327" s="56"/>
    </row>
    <row r="328" spans="1:44" s="116" customFormat="1" ht="15.75" hidden="1" x14ac:dyDescent="0.2">
      <c r="A328" s="892"/>
      <c r="B328" s="906"/>
      <c r="C328" s="1140"/>
      <c r="D328" s="906"/>
      <c r="E328" s="1139"/>
      <c r="F328" s="906"/>
      <c r="G328" s="901"/>
      <c r="H328" s="906"/>
      <c r="I328" s="906"/>
      <c r="J328" s="906"/>
      <c r="K328" s="906"/>
      <c r="L328" s="906"/>
      <c r="M328" s="906"/>
      <c r="N328" s="906"/>
      <c r="O328" s="906"/>
      <c r="P328" s="906"/>
      <c r="Q328" s="906"/>
      <c r="R328" s="906"/>
      <c r="S328" s="906"/>
      <c r="T328" s="906"/>
      <c r="U328" s="906"/>
      <c r="V328" s="906"/>
      <c r="W328" s="892"/>
      <c r="X328" s="906"/>
      <c r="Y328" s="901"/>
      <c r="Z328" s="906"/>
      <c r="AA328" s="906"/>
      <c r="AB328" s="906"/>
      <c r="AC328" s="892">
        <v>2737</v>
      </c>
      <c r="AD328" s="906" t="s">
        <v>4</v>
      </c>
      <c r="AE328" s="90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56"/>
    </row>
    <row r="329" spans="1:44" s="116" customFormat="1" ht="50.85" hidden="1" customHeight="1" x14ac:dyDescent="0.2">
      <c r="A329" s="1821">
        <v>55</v>
      </c>
      <c r="B329" s="1374" t="s">
        <v>383</v>
      </c>
      <c r="C329" s="1389" t="s">
        <v>242</v>
      </c>
      <c r="D329" s="1374">
        <v>1.044</v>
      </c>
      <c r="E329" s="1470">
        <v>27317</v>
      </c>
      <c r="F329" s="1374">
        <v>1.044</v>
      </c>
      <c r="G329" s="1558">
        <v>27317</v>
      </c>
      <c r="H329" s="906"/>
      <c r="I329" s="906"/>
      <c r="J329" s="906"/>
      <c r="K329" s="906"/>
      <c r="L329" s="906"/>
      <c r="M329" s="906"/>
      <c r="N329" s="906"/>
      <c r="O329" s="906"/>
      <c r="P329" s="906"/>
      <c r="Q329" s="906"/>
      <c r="R329" s="906"/>
      <c r="S329" s="906"/>
      <c r="T329" s="906"/>
      <c r="U329" s="906"/>
      <c r="V329" s="906"/>
      <c r="W329" s="906"/>
      <c r="X329" s="906"/>
      <c r="Y329" s="901"/>
      <c r="Z329" s="1374" t="s">
        <v>441</v>
      </c>
      <c r="AA329" s="1374" t="s">
        <v>1324</v>
      </c>
      <c r="AB329" s="1374" t="s">
        <v>5</v>
      </c>
      <c r="AC329" s="906"/>
      <c r="AD329" s="906" t="s">
        <v>2</v>
      </c>
      <c r="AE329" s="1374">
        <f>AC329*16950.467</f>
        <v>0</v>
      </c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  <c r="AP329" s="123"/>
      <c r="AQ329" s="123"/>
      <c r="AR329" s="1233" t="s">
        <v>1323</v>
      </c>
    </row>
    <row r="330" spans="1:44" s="116" customFormat="1" ht="49.5" hidden="1" customHeight="1" x14ac:dyDescent="0.2">
      <c r="A330" s="1822"/>
      <c r="B330" s="1375"/>
      <c r="C330" s="1390"/>
      <c r="D330" s="1375"/>
      <c r="E330" s="1471"/>
      <c r="F330" s="1375"/>
      <c r="G330" s="1271"/>
      <c r="H330" s="906"/>
      <c r="I330" s="906"/>
      <c r="J330" s="906"/>
      <c r="K330" s="906"/>
      <c r="L330" s="906"/>
      <c r="M330" s="906"/>
      <c r="N330" s="906"/>
      <c r="O330" s="906"/>
      <c r="P330" s="906"/>
      <c r="Q330" s="906"/>
      <c r="R330" s="906"/>
      <c r="S330" s="906"/>
      <c r="T330" s="906"/>
      <c r="U330" s="906"/>
      <c r="V330" s="906"/>
      <c r="W330" s="892"/>
      <c r="X330" s="906"/>
      <c r="Y330" s="901"/>
      <c r="Z330" s="1375"/>
      <c r="AA330" s="1375"/>
      <c r="AB330" s="1375"/>
      <c r="AC330" s="892"/>
      <c r="AD330" s="906" t="s">
        <v>4</v>
      </c>
      <c r="AE330" s="1375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  <c r="AP330" s="123"/>
      <c r="AQ330" s="123"/>
      <c r="AR330" s="1233"/>
    </row>
    <row r="331" spans="1:44" s="116" customFormat="1" ht="31.5" hidden="1" x14ac:dyDescent="0.2">
      <c r="A331" s="892">
        <f>A329+1</f>
        <v>56</v>
      </c>
      <c r="B331" s="906" t="s">
        <v>384</v>
      </c>
      <c r="C331" s="1140" t="s">
        <v>243</v>
      </c>
      <c r="D331" s="906">
        <v>0.501</v>
      </c>
      <c r="E331" s="1139">
        <v>2557</v>
      </c>
      <c r="F331" s="906">
        <v>0.501</v>
      </c>
      <c r="G331" s="901">
        <v>2557</v>
      </c>
      <c r="H331" s="906"/>
      <c r="I331" s="906"/>
      <c r="J331" s="906"/>
      <c r="K331" s="906"/>
      <c r="L331" s="906"/>
      <c r="M331" s="906"/>
      <c r="N331" s="906"/>
      <c r="O331" s="906"/>
      <c r="P331" s="906"/>
      <c r="Q331" s="906"/>
      <c r="R331" s="906"/>
      <c r="S331" s="906"/>
      <c r="T331" s="906"/>
      <c r="U331" s="906"/>
      <c r="V331" s="906"/>
      <c r="W331" s="906"/>
      <c r="X331" s="906"/>
      <c r="Y331" s="901"/>
      <c r="Z331" s="906" t="s">
        <v>435</v>
      </c>
      <c r="AA331" s="906" t="s">
        <v>436</v>
      </c>
      <c r="AB331" s="906" t="s">
        <v>5</v>
      </c>
      <c r="AC331" s="906">
        <v>0.501</v>
      </c>
      <c r="AD331" s="906" t="s">
        <v>2</v>
      </c>
      <c r="AE331" s="906">
        <f>AC331*9686.683</f>
        <v>4853.0281830000004</v>
      </c>
      <c r="AF331" s="123">
        <f>AE331/AC331</f>
        <v>9686.6830000000009</v>
      </c>
      <c r="AG331" s="123"/>
      <c r="AH331" s="123"/>
      <c r="AI331" s="123"/>
      <c r="AJ331" s="123"/>
      <c r="AK331" s="123"/>
      <c r="AL331" s="123"/>
      <c r="AM331" s="123"/>
      <c r="AN331" s="123"/>
      <c r="AO331" s="123"/>
      <c r="AP331" s="123"/>
      <c r="AQ331" s="123"/>
      <c r="AR331" s="56"/>
    </row>
    <row r="332" spans="1:44" s="116" customFormat="1" ht="15.75" hidden="1" x14ac:dyDescent="0.2">
      <c r="A332" s="892"/>
      <c r="B332" s="906"/>
      <c r="C332" s="1140"/>
      <c r="D332" s="906"/>
      <c r="E332" s="1139"/>
      <c r="F332" s="906"/>
      <c r="G332" s="901"/>
      <c r="H332" s="906"/>
      <c r="I332" s="906"/>
      <c r="J332" s="906"/>
      <c r="K332" s="906"/>
      <c r="L332" s="906"/>
      <c r="M332" s="906"/>
      <c r="N332" s="906"/>
      <c r="O332" s="906"/>
      <c r="P332" s="906"/>
      <c r="Q332" s="906"/>
      <c r="R332" s="906"/>
      <c r="S332" s="906"/>
      <c r="T332" s="906"/>
      <c r="U332" s="906"/>
      <c r="V332" s="906"/>
      <c r="W332" s="892"/>
      <c r="X332" s="906"/>
      <c r="Y332" s="901"/>
      <c r="Z332" s="906"/>
      <c r="AA332" s="906"/>
      <c r="AB332" s="906"/>
      <c r="AC332" s="892">
        <v>2557</v>
      </c>
      <c r="AD332" s="906" t="s">
        <v>4</v>
      </c>
      <c r="AE332" s="90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  <c r="AP332" s="123"/>
      <c r="AQ332" s="123"/>
      <c r="AR332" s="56"/>
    </row>
    <row r="333" spans="1:44" s="116" customFormat="1" ht="31.5" hidden="1" x14ac:dyDescent="0.2">
      <c r="A333" s="892">
        <f>A331+1</f>
        <v>57</v>
      </c>
      <c r="B333" s="906" t="s">
        <v>385</v>
      </c>
      <c r="C333" s="1140" t="s">
        <v>244</v>
      </c>
      <c r="D333" s="906">
        <v>0.312</v>
      </c>
      <c r="E333" s="1139">
        <v>1299</v>
      </c>
      <c r="F333" s="906">
        <v>0.312</v>
      </c>
      <c r="G333" s="901">
        <v>1299</v>
      </c>
      <c r="H333" s="906"/>
      <c r="I333" s="906"/>
      <c r="J333" s="906"/>
      <c r="K333" s="906"/>
      <c r="L333" s="906"/>
      <c r="M333" s="906"/>
      <c r="N333" s="906"/>
      <c r="O333" s="906"/>
      <c r="P333" s="906"/>
      <c r="Q333" s="906"/>
      <c r="R333" s="906"/>
      <c r="S333" s="906"/>
      <c r="T333" s="906"/>
      <c r="U333" s="906"/>
      <c r="V333" s="906"/>
      <c r="W333" s="906"/>
      <c r="X333" s="906"/>
      <c r="Y333" s="901"/>
      <c r="Z333" s="906" t="s">
        <v>437</v>
      </c>
      <c r="AA333" s="906" t="s">
        <v>438</v>
      </c>
      <c r="AB333" s="906" t="s">
        <v>5</v>
      </c>
      <c r="AC333" s="906">
        <v>0.312</v>
      </c>
      <c r="AD333" s="906" t="s">
        <v>2</v>
      </c>
      <c r="AE333" s="906">
        <f>AC333*9686.683</f>
        <v>3022.2450960000001</v>
      </c>
      <c r="AF333" s="123">
        <f>AE333/AC333</f>
        <v>9686.6830000000009</v>
      </c>
      <c r="AG333" s="123"/>
      <c r="AH333" s="123"/>
      <c r="AI333" s="123"/>
      <c r="AJ333" s="123"/>
      <c r="AK333" s="123"/>
      <c r="AL333" s="123"/>
      <c r="AM333" s="123"/>
      <c r="AN333" s="123"/>
      <c r="AO333" s="123"/>
      <c r="AP333" s="123"/>
      <c r="AQ333" s="123"/>
      <c r="AR333" s="56"/>
    </row>
    <row r="334" spans="1:44" s="116" customFormat="1" ht="15.75" hidden="1" x14ac:dyDescent="0.2">
      <c r="A334" s="892"/>
      <c r="B334" s="906"/>
      <c r="C334" s="1140"/>
      <c r="D334" s="906"/>
      <c r="E334" s="1139"/>
      <c r="F334" s="906"/>
      <c r="G334" s="901"/>
      <c r="H334" s="906"/>
      <c r="I334" s="906"/>
      <c r="J334" s="906"/>
      <c r="K334" s="906"/>
      <c r="L334" s="906"/>
      <c r="M334" s="906"/>
      <c r="N334" s="906"/>
      <c r="O334" s="906"/>
      <c r="P334" s="906"/>
      <c r="Q334" s="906"/>
      <c r="R334" s="906"/>
      <c r="S334" s="906"/>
      <c r="T334" s="906"/>
      <c r="U334" s="906"/>
      <c r="V334" s="906"/>
      <c r="W334" s="892"/>
      <c r="X334" s="906"/>
      <c r="Y334" s="901"/>
      <c r="Z334" s="906"/>
      <c r="AA334" s="906"/>
      <c r="AB334" s="906"/>
      <c r="AC334" s="892">
        <v>1299</v>
      </c>
      <c r="AD334" s="906" t="s">
        <v>4</v>
      </c>
      <c r="AE334" s="90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  <c r="AP334" s="123"/>
      <c r="AQ334" s="123"/>
      <c r="AR334" s="56"/>
    </row>
    <row r="335" spans="1:44" s="116" customFormat="1" ht="31.5" hidden="1" x14ac:dyDescent="0.2">
      <c r="A335" s="892">
        <f>A333+1</f>
        <v>58</v>
      </c>
      <c r="B335" s="134" t="s">
        <v>696</v>
      </c>
      <c r="C335" s="1140" t="s">
        <v>245</v>
      </c>
      <c r="D335" s="906">
        <v>0.55100000000000005</v>
      </c>
      <c r="E335" s="1139">
        <v>2210</v>
      </c>
      <c r="F335" s="906">
        <v>0.55100000000000005</v>
      </c>
      <c r="G335" s="901">
        <v>2210</v>
      </c>
      <c r="H335" s="906"/>
      <c r="I335" s="906"/>
      <c r="J335" s="906"/>
      <c r="K335" s="906"/>
      <c r="L335" s="906"/>
      <c r="M335" s="906"/>
      <c r="N335" s="906"/>
      <c r="O335" s="906"/>
      <c r="P335" s="906"/>
      <c r="Q335" s="906"/>
      <c r="R335" s="906"/>
      <c r="S335" s="906"/>
      <c r="T335" s="906"/>
      <c r="U335" s="906"/>
      <c r="V335" s="906"/>
      <c r="W335" s="906"/>
      <c r="X335" s="906"/>
      <c r="Y335" s="901"/>
      <c r="Z335" s="906" t="s">
        <v>405</v>
      </c>
      <c r="AA335" s="906" t="s">
        <v>439</v>
      </c>
      <c r="AB335" s="906" t="s">
        <v>5</v>
      </c>
      <c r="AC335" s="906">
        <v>0.55100000000000005</v>
      </c>
      <c r="AD335" s="906" t="s">
        <v>2</v>
      </c>
      <c r="AE335" s="906">
        <f>AC335*9686.683</f>
        <v>5337.3623330000009</v>
      </c>
      <c r="AF335" s="123">
        <f>AE335/AC335</f>
        <v>9686.6830000000009</v>
      </c>
      <c r="AG335" s="123"/>
      <c r="AH335" s="123"/>
      <c r="AI335" s="123"/>
      <c r="AJ335" s="123"/>
      <c r="AK335" s="123"/>
      <c r="AL335" s="123"/>
      <c r="AM335" s="123"/>
      <c r="AN335" s="123"/>
      <c r="AO335" s="123"/>
      <c r="AP335" s="123"/>
      <c r="AQ335" s="123"/>
      <c r="AR335" s="56"/>
    </row>
    <row r="336" spans="1:44" s="116" customFormat="1" ht="15.75" hidden="1" x14ac:dyDescent="0.2">
      <c r="A336" s="892"/>
      <c r="B336" s="906"/>
      <c r="C336" s="1140"/>
      <c r="D336" s="906"/>
      <c r="E336" s="1139"/>
      <c r="F336" s="906"/>
      <c r="G336" s="901"/>
      <c r="H336" s="906"/>
      <c r="I336" s="906"/>
      <c r="J336" s="906"/>
      <c r="K336" s="906"/>
      <c r="L336" s="906"/>
      <c r="M336" s="906"/>
      <c r="N336" s="906"/>
      <c r="O336" s="906"/>
      <c r="P336" s="906"/>
      <c r="Q336" s="906"/>
      <c r="R336" s="906"/>
      <c r="S336" s="906"/>
      <c r="T336" s="906"/>
      <c r="U336" s="906"/>
      <c r="V336" s="906"/>
      <c r="W336" s="892"/>
      <c r="X336" s="906"/>
      <c r="Y336" s="901"/>
      <c r="Z336" s="906"/>
      <c r="AA336" s="906"/>
      <c r="AB336" s="906"/>
      <c r="AC336" s="892">
        <v>2210</v>
      </c>
      <c r="AD336" s="906" t="s">
        <v>4</v>
      </c>
      <c r="AE336" s="90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  <c r="AP336" s="123"/>
      <c r="AQ336" s="123"/>
      <c r="AR336" s="56"/>
    </row>
    <row r="337" spans="1:44" s="116" customFormat="1" ht="31.5" hidden="1" x14ac:dyDescent="0.2">
      <c r="A337" s="892">
        <f>A335+1</f>
        <v>59</v>
      </c>
      <c r="B337" s="906" t="s">
        <v>386</v>
      </c>
      <c r="C337" s="1140" t="s">
        <v>246</v>
      </c>
      <c r="D337" s="906">
        <v>0.46200000000000002</v>
      </c>
      <c r="E337" s="1139">
        <v>3096</v>
      </c>
      <c r="F337" s="906">
        <v>0.46200000000000002</v>
      </c>
      <c r="G337" s="901">
        <v>3096</v>
      </c>
      <c r="H337" s="906"/>
      <c r="I337" s="906"/>
      <c r="J337" s="906"/>
      <c r="K337" s="906"/>
      <c r="L337" s="906"/>
      <c r="M337" s="906"/>
      <c r="N337" s="906"/>
      <c r="O337" s="906"/>
      <c r="P337" s="906"/>
      <c r="Q337" s="906"/>
      <c r="R337" s="906"/>
      <c r="S337" s="906"/>
      <c r="T337" s="906"/>
      <c r="U337" s="906"/>
      <c r="V337" s="906"/>
      <c r="W337" s="906"/>
      <c r="X337" s="906"/>
      <c r="Y337" s="901"/>
      <c r="Z337" s="906" t="s">
        <v>436</v>
      </c>
      <c r="AA337" s="906" t="s">
        <v>440</v>
      </c>
      <c r="AB337" s="906" t="s">
        <v>5</v>
      </c>
      <c r="AC337" s="906">
        <v>0.46200000000000002</v>
      </c>
      <c r="AD337" s="906" t="s">
        <v>2</v>
      </c>
      <c r="AE337" s="906">
        <f>AC337*9686.683</f>
        <v>4475.2475460000005</v>
      </c>
      <c r="AF337" s="123">
        <f>AE337/AC337</f>
        <v>9686.6830000000009</v>
      </c>
      <c r="AG337" s="123"/>
      <c r="AH337" s="123"/>
      <c r="AI337" s="123"/>
      <c r="AJ337" s="123"/>
      <c r="AK337" s="123"/>
      <c r="AL337" s="123"/>
      <c r="AM337" s="123"/>
      <c r="AN337" s="123"/>
      <c r="AO337" s="123"/>
      <c r="AP337" s="123"/>
      <c r="AQ337" s="123"/>
      <c r="AR337" s="56"/>
    </row>
    <row r="338" spans="1:44" s="116" customFormat="1" ht="15.75" hidden="1" x14ac:dyDescent="0.2">
      <c r="A338" s="892"/>
      <c r="B338" s="906"/>
      <c r="C338" s="1140"/>
      <c r="D338" s="906"/>
      <c r="E338" s="1139"/>
      <c r="F338" s="906"/>
      <c r="G338" s="901"/>
      <c r="H338" s="906"/>
      <c r="I338" s="906"/>
      <c r="J338" s="906"/>
      <c r="K338" s="906"/>
      <c r="L338" s="906"/>
      <c r="M338" s="906"/>
      <c r="N338" s="906"/>
      <c r="O338" s="906"/>
      <c r="P338" s="906"/>
      <c r="Q338" s="906"/>
      <c r="R338" s="906"/>
      <c r="S338" s="906"/>
      <c r="T338" s="906"/>
      <c r="U338" s="906"/>
      <c r="V338" s="906"/>
      <c r="W338" s="892"/>
      <c r="X338" s="906"/>
      <c r="Y338" s="901"/>
      <c r="Z338" s="906"/>
      <c r="AA338" s="906"/>
      <c r="AB338" s="906"/>
      <c r="AC338" s="892">
        <v>3096</v>
      </c>
      <c r="AD338" s="906" t="s">
        <v>4</v>
      </c>
      <c r="AE338" s="90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  <c r="AP338" s="123"/>
      <c r="AQ338" s="123"/>
      <c r="AR338" s="56"/>
    </row>
    <row r="339" spans="1:44" s="116" customFormat="1" ht="31.5" hidden="1" x14ac:dyDescent="0.25">
      <c r="A339" s="892">
        <f>A337+1</f>
        <v>60</v>
      </c>
      <c r="B339" s="906" t="s">
        <v>387</v>
      </c>
      <c r="C339" s="1140" t="s">
        <v>247</v>
      </c>
      <c r="D339" s="906">
        <v>0.33100000000000002</v>
      </c>
      <c r="E339" s="1139">
        <v>2132</v>
      </c>
      <c r="F339" s="906">
        <v>0.33100000000000002</v>
      </c>
      <c r="G339" s="901">
        <v>2132</v>
      </c>
      <c r="H339" s="906"/>
      <c r="I339" s="906"/>
      <c r="J339" s="906"/>
      <c r="K339" s="906"/>
      <c r="L339" s="906"/>
      <c r="M339" s="906"/>
      <c r="N339" s="906"/>
      <c r="O339" s="906"/>
      <c r="P339" s="906"/>
      <c r="Q339" s="906"/>
      <c r="R339" s="906"/>
      <c r="S339" s="906"/>
      <c r="T339" s="906"/>
      <c r="U339" s="2512"/>
      <c r="V339" s="906"/>
      <c r="W339" s="906"/>
      <c r="X339" s="906"/>
      <c r="Y339" s="901"/>
      <c r="Z339" s="906" t="s">
        <v>403</v>
      </c>
      <c r="AA339" s="2512" t="s">
        <v>1024</v>
      </c>
      <c r="AB339" s="906" t="s">
        <v>5</v>
      </c>
      <c r="AC339" s="906">
        <v>0.33100000000000002</v>
      </c>
      <c r="AD339" s="906" t="s">
        <v>2</v>
      </c>
      <c r="AE339" s="906">
        <f>AC339*9686.683</f>
        <v>3206.2920730000005</v>
      </c>
      <c r="AF339" s="123">
        <f>AE339/AC339</f>
        <v>9686.6830000000009</v>
      </c>
      <c r="AG339" s="123"/>
      <c r="AH339" s="123"/>
      <c r="AI339" s="123"/>
      <c r="AJ339" s="123"/>
      <c r="AK339" s="123"/>
      <c r="AL339" s="123"/>
      <c r="AM339" s="123"/>
      <c r="AN339" s="123"/>
      <c r="AO339" s="123"/>
      <c r="AP339" s="123"/>
      <c r="AQ339" s="123"/>
      <c r="AR339" s="56"/>
    </row>
    <row r="340" spans="1:44" s="116" customFormat="1" ht="15.75" hidden="1" x14ac:dyDescent="0.2">
      <c r="A340" s="892"/>
      <c r="B340" s="906"/>
      <c r="C340" s="1140"/>
      <c r="D340" s="906"/>
      <c r="E340" s="1139"/>
      <c r="F340" s="906"/>
      <c r="G340" s="901"/>
      <c r="H340" s="906"/>
      <c r="I340" s="906"/>
      <c r="J340" s="906"/>
      <c r="K340" s="906"/>
      <c r="L340" s="906"/>
      <c r="M340" s="906"/>
      <c r="N340" s="906"/>
      <c r="O340" s="906"/>
      <c r="P340" s="906"/>
      <c r="Q340" s="906"/>
      <c r="R340" s="906"/>
      <c r="S340" s="906"/>
      <c r="T340" s="906"/>
      <c r="U340" s="906"/>
      <c r="V340" s="906"/>
      <c r="W340" s="892"/>
      <c r="X340" s="906"/>
      <c r="Y340" s="901"/>
      <c r="Z340" s="906"/>
      <c r="AA340" s="906"/>
      <c r="AB340" s="906"/>
      <c r="AC340" s="892">
        <v>2132</v>
      </c>
      <c r="AD340" s="906" t="s">
        <v>4</v>
      </c>
      <c r="AE340" s="90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56"/>
    </row>
    <row r="341" spans="1:44" s="116" customFormat="1" ht="35.65" hidden="1" customHeight="1" x14ac:dyDescent="0.2">
      <c r="A341" s="1821">
        <v>107</v>
      </c>
      <c r="B341" s="1374" t="s">
        <v>388</v>
      </c>
      <c r="C341" s="1389" t="s">
        <v>248</v>
      </c>
      <c r="D341" s="1374">
        <v>0.87</v>
      </c>
      <c r="E341" s="1470">
        <v>10315</v>
      </c>
      <c r="F341" s="1374">
        <v>0.87</v>
      </c>
      <c r="G341" s="1558">
        <v>10315</v>
      </c>
      <c r="H341" s="906"/>
      <c r="I341" s="906"/>
      <c r="J341" s="906"/>
      <c r="K341" s="906"/>
      <c r="L341" s="906"/>
      <c r="M341" s="906"/>
      <c r="N341" s="906"/>
      <c r="O341" s="906"/>
      <c r="P341" s="906"/>
      <c r="Q341" s="906"/>
      <c r="R341" s="906"/>
      <c r="S341" s="906"/>
      <c r="T341" s="906"/>
      <c r="U341" s="906"/>
      <c r="V341" s="906"/>
      <c r="W341" s="906"/>
      <c r="X341" s="906"/>
      <c r="Y341" s="901"/>
      <c r="Z341" s="1374" t="s">
        <v>441</v>
      </c>
      <c r="AA341" s="1374" t="s">
        <v>1326</v>
      </c>
      <c r="AB341" s="1374" t="s">
        <v>5</v>
      </c>
      <c r="AC341" s="906"/>
      <c r="AD341" s="906" t="s">
        <v>2</v>
      </c>
      <c r="AE341" s="1374">
        <f>AC341*16950.467</f>
        <v>0</v>
      </c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  <c r="AP341" s="123"/>
      <c r="AQ341" s="123"/>
      <c r="AR341" s="1233" t="s">
        <v>1325</v>
      </c>
    </row>
    <row r="342" spans="1:44" s="116" customFormat="1" ht="35.65" hidden="1" customHeight="1" x14ac:dyDescent="0.25">
      <c r="A342" s="1822"/>
      <c r="B342" s="1375"/>
      <c r="C342" s="1390"/>
      <c r="D342" s="1375"/>
      <c r="E342" s="1471"/>
      <c r="F342" s="1375"/>
      <c r="G342" s="1271"/>
      <c r="H342" s="1140"/>
      <c r="I342" s="906"/>
      <c r="J342" s="906"/>
      <c r="K342" s="906"/>
      <c r="L342" s="906"/>
      <c r="M342" s="906"/>
      <c r="N342" s="906"/>
      <c r="O342" s="906"/>
      <c r="P342" s="906"/>
      <c r="Q342" s="906"/>
      <c r="R342" s="906"/>
      <c r="S342" s="906"/>
      <c r="T342" s="906"/>
      <c r="U342" s="906"/>
      <c r="V342" s="906"/>
      <c r="W342" s="411"/>
      <c r="X342" s="906"/>
      <c r="Y342" s="906"/>
      <c r="Z342" s="1375"/>
      <c r="AA342" s="1375"/>
      <c r="AB342" s="1375"/>
      <c r="AC342" s="411"/>
      <c r="AD342" s="906" t="s">
        <v>4</v>
      </c>
      <c r="AE342" s="1375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  <c r="AP342" s="123"/>
      <c r="AQ342" s="123"/>
      <c r="AR342" s="1233"/>
    </row>
    <row r="343" spans="1:44" s="116" customFormat="1" ht="34.15" hidden="1" customHeight="1" x14ac:dyDescent="0.2">
      <c r="A343" s="892">
        <f>A341+1</f>
        <v>108</v>
      </c>
      <c r="B343" s="878">
        <v>3405475</v>
      </c>
      <c r="C343" s="919" t="s">
        <v>699</v>
      </c>
      <c r="D343" s="1130">
        <v>0.71499999999999997</v>
      </c>
      <c r="E343" s="2513"/>
      <c r="F343" s="1130">
        <v>0.71499999999999997</v>
      </c>
      <c r="G343" s="2514"/>
      <c r="H343" s="125"/>
      <c r="I343" s="1096"/>
      <c r="J343" s="1096"/>
      <c r="K343" s="1096"/>
      <c r="L343" s="1096"/>
      <c r="M343" s="1096"/>
      <c r="N343" s="1096"/>
      <c r="O343" s="1096"/>
      <c r="P343" s="1096"/>
      <c r="Q343" s="1096"/>
      <c r="R343" s="1096"/>
      <c r="S343" s="1096"/>
      <c r="T343" s="1096"/>
      <c r="U343" s="1096"/>
      <c r="V343" s="1096"/>
      <c r="W343" s="126"/>
      <c r="X343" s="1096"/>
      <c r="Y343" s="1096"/>
      <c r="Z343" s="1086"/>
      <c r="AA343" s="1086"/>
      <c r="AB343" s="1086"/>
      <c r="AC343" s="1086"/>
      <c r="AD343" s="1086"/>
      <c r="AE343" s="1086"/>
      <c r="AF343" s="1086"/>
      <c r="AG343" s="1086"/>
      <c r="AH343" s="1086"/>
      <c r="AI343" s="1086"/>
      <c r="AJ343" s="1086"/>
      <c r="AK343" s="1086"/>
      <c r="AL343" s="1086"/>
      <c r="AM343" s="1086"/>
      <c r="AN343" s="1086"/>
      <c r="AO343" s="1086"/>
      <c r="AP343" s="1086"/>
      <c r="AQ343" s="1086"/>
      <c r="AR343" s="1086"/>
    </row>
    <row r="344" spans="1:44" s="116" customFormat="1" ht="34.15" hidden="1" customHeight="1" x14ac:dyDescent="0.2">
      <c r="A344" s="888">
        <f>A343+1</f>
        <v>109</v>
      </c>
      <c r="B344" s="878">
        <v>3405505</v>
      </c>
      <c r="C344" s="919" t="s">
        <v>700</v>
      </c>
      <c r="D344" s="1130">
        <v>0.65500000000000003</v>
      </c>
      <c r="E344" s="2513"/>
      <c r="F344" s="1130">
        <v>0.65500000000000003</v>
      </c>
      <c r="G344" s="2514"/>
      <c r="H344" s="125"/>
      <c r="I344" s="1096"/>
      <c r="J344" s="1096"/>
      <c r="K344" s="1096"/>
      <c r="L344" s="1096"/>
      <c r="M344" s="1096"/>
      <c r="N344" s="1096"/>
      <c r="O344" s="1096"/>
      <c r="P344" s="1096"/>
      <c r="Q344" s="1096"/>
      <c r="R344" s="1096"/>
      <c r="S344" s="1096"/>
      <c r="T344" s="1096"/>
      <c r="U344" s="1096"/>
      <c r="V344" s="1096"/>
      <c r="W344" s="126"/>
      <c r="X344" s="1096"/>
      <c r="Y344" s="1096"/>
      <c r="Z344" s="1086"/>
      <c r="AA344" s="1086"/>
      <c r="AB344" s="1086"/>
      <c r="AC344" s="1086"/>
      <c r="AD344" s="1086"/>
      <c r="AE344" s="1086"/>
      <c r="AF344" s="1086"/>
      <c r="AG344" s="1086"/>
      <c r="AH344" s="1086"/>
      <c r="AI344" s="1086"/>
      <c r="AJ344" s="1086"/>
      <c r="AK344" s="1086"/>
      <c r="AL344" s="1086"/>
      <c r="AM344" s="1086"/>
      <c r="AN344" s="1086"/>
      <c r="AO344" s="1086"/>
      <c r="AP344" s="1086"/>
      <c r="AQ344" s="1086"/>
      <c r="AR344" s="1086"/>
    </row>
    <row r="345" spans="1:44" s="116" customFormat="1" ht="34.15" hidden="1" customHeight="1" x14ac:dyDescent="0.2">
      <c r="A345" s="888">
        <f t="shared" ref="A345:A409" si="9">A344+1</f>
        <v>110</v>
      </c>
      <c r="B345" s="878" t="s">
        <v>701</v>
      </c>
      <c r="C345" s="919" t="s">
        <v>702</v>
      </c>
      <c r="D345" s="1130">
        <v>1.762</v>
      </c>
      <c r="E345" s="2513"/>
      <c r="F345" s="1130">
        <v>1.762</v>
      </c>
      <c r="G345" s="2514"/>
      <c r="H345" s="125"/>
      <c r="I345" s="1096"/>
      <c r="J345" s="1096"/>
      <c r="K345" s="1096"/>
      <c r="L345" s="1096"/>
      <c r="M345" s="1096"/>
      <c r="N345" s="1096"/>
      <c r="O345" s="1096"/>
      <c r="P345" s="1096"/>
      <c r="Q345" s="1096"/>
      <c r="R345" s="1096"/>
      <c r="S345" s="1096"/>
      <c r="T345" s="1096"/>
      <c r="U345" s="1096"/>
      <c r="V345" s="1096"/>
      <c r="W345" s="126"/>
      <c r="X345" s="1096"/>
      <c r="Y345" s="1096"/>
      <c r="Z345" s="1086"/>
      <c r="AA345" s="1086"/>
      <c r="AB345" s="1086"/>
      <c r="AC345" s="1086"/>
      <c r="AD345" s="1086"/>
      <c r="AE345" s="1086"/>
      <c r="AF345" s="1086"/>
      <c r="AG345" s="1086"/>
      <c r="AH345" s="1086"/>
      <c r="AI345" s="1086"/>
      <c r="AJ345" s="1086"/>
      <c r="AK345" s="1086"/>
      <c r="AL345" s="1086"/>
      <c r="AM345" s="1086"/>
      <c r="AN345" s="1086"/>
      <c r="AO345" s="1086"/>
      <c r="AP345" s="1086"/>
      <c r="AQ345" s="1086"/>
      <c r="AR345" s="1086"/>
    </row>
    <row r="346" spans="1:44" s="116" customFormat="1" ht="34.15" hidden="1" customHeight="1" x14ac:dyDescent="0.2">
      <c r="A346" s="888">
        <f t="shared" si="9"/>
        <v>111</v>
      </c>
      <c r="B346" s="878" t="s">
        <v>703</v>
      </c>
      <c r="C346" s="919" t="s">
        <v>704</v>
      </c>
      <c r="D346" s="1130">
        <v>0.46800000000000003</v>
      </c>
      <c r="E346" s="2513"/>
      <c r="F346" s="1130">
        <v>0.46800000000000003</v>
      </c>
      <c r="G346" s="2514"/>
      <c r="H346" s="125"/>
      <c r="I346" s="1096"/>
      <c r="J346" s="1096"/>
      <c r="K346" s="1096"/>
      <c r="L346" s="1096"/>
      <c r="M346" s="1096"/>
      <c r="N346" s="1096"/>
      <c r="O346" s="1096"/>
      <c r="P346" s="1096"/>
      <c r="Q346" s="1096"/>
      <c r="R346" s="1096"/>
      <c r="S346" s="1096"/>
      <c r="T346" s="1096"/>
      <c r="U346" s="1096"/>
      <c r="V346" s="1096"/>
      <c r="W346" s="126"/>
      <c r="X346" s="1096"/>
      <c r="Y346" s="1096"/>
      <c r="Z346" s="1086"/>
      <c r="AA346" s="1086"/>
      <c r="AB346" s="1086"/>
      <c r="AC346" s="1086"/>
      <c r="AD346" s="1086"/>
      <c r="AE346" s="1086"/>
      <c r="AF346" s="1086"/>
      <c r="AG346" s="1086"/>
      <c r="AH346" s="1086"/>
      <c r="AI346" s="1086"/>
      <c r="AJ346" s="1086"/>
      <c r="AK346" s="1086"/>
      <c r="AL346" s="1086"/>
      <c r="AM346" s="1086"/>
      <c r="AN346" s="1086"/>
      <c r="AO346" s="1086"/>
      <c r="AP346" s="1086"/>
      <c r="AQ346" s="1086"/>
      <c r="AR346" s="1086"/>
    </row>
    <row r="347" spans="1:44" s="116" customFormat="1" ht="34.15" hidden="1" customHeight="1" x14ac:dyDescent="0.2">
      <c r="A347" s="888">
        <f t="shared" si="9"/>
        <v>112</v>
      </c>
      <c r="B347" s="878" t="s">
        <v>705</v>
      </c>
      <c r="C347" s="919" t="s">
        <v>706</v>
      </c>
      <c r="D347" s="1130">
        <v>1.169</v>
      </c>
      <c r="E347" s="2513"/>
      <c r="F347" s="1130">
        <v>1.169</v>
      </c>
      <c r="G347" s="2514"/>
      <c r="H347" s="125"/>
      <c r="I347" s="1096"/>
      <c r="J347" s="1096"/>
      <c r="K347" s="1096"/>
      <c r="L347" s="1096"/>
      <c r="M347" s="1096"/>
      <c r="N347" s="1096"/>
      <c r="O347" s="1096"/>
      <c r="P347" s="1096"/>
      <c r="Q347" s="1096"/>
      <c r="R347" s="1096"/>
      <c r="S347" s="1096"/>
      <c r="T347" s="1096"/>
      <c r="U347" s="1096"/>
      <c r="V347" s="1096"/>
      <c r="W347" s="126"/>
      <c r="X347" s="1096"/>
      <c r="Y347" s="1096"/>
      <c r="Z347" s="1086"/>
      <c r="AA347" s="1086"/>
      <c r="AB347" s="1086"/>
      <c r="AC347" s="1086"/>
      <c r="AD347" s="1086"/>
      <c r="AE347" s="1086"/>
      <c r="AF347" s="1086"/>
      <c r="AG347" s="1086"/>
      <c r="AH347" s="1086"/>
      <c r="AI347" s="1086"/>
      <c r="AJ347" s="1086"/>
      <c r="AK347" s="1086"/>
      <c r="AL347" s="1086"/>
      <c r="AM347" s="1086"/>
      <c r="AN347" s="1086"/>
      <c r="AO347" s="1086"/>
      <c r="AP347" s="1086"/>
      <c r="AQ347" s="1086"/>
      <c r="AR347" s="1086"/>
    </row>
    <row r="348" spans="1:44" s="116" customFormat="1" ht="34.15" hidden="1" customHeight="1" x14ac:dyDescent="0.2">
      <c r="A348" s="888">
        <f t="shared" si="9"/>
        <v>113</v>
      </c>
      <c r="B348" s="878" t="s">
        <v>707</v>
      </c>
      <c r="C348" s="919" t="s">
        <v>708</v>
      </c>
      <c r="D348" s="1130">
        <v>0.65200000000000002</v>
      </c>
      <c r="E348" s="2513"/>
      <c r="F348" s="1130">
        <v>0.65200000000000002</v>
      </c>
      <c r="G348" s="2514"/>
      <c r="H348" s="125"/>
      <c r="I348" s="1096"/>
      <c r="J348" s="1096"/>
      <c r="K348" s="1096"/>
      <c r="L348" s="1096"/>
      <c r="M348" s="1096"/>
      <c r="N348" s="1096"/>
      <c r="O348" s="1096"/>
      <c r="P348" s="1096"/>
      <c r="Q348" s="1096"/>
      <c r="R348" s="1096"/>
      <c r="S348" s="1096"/>
      <c r="T348" s="1096"/>
      <c r="U348" s="1096"/>
      <c r="V348" s="1096"/>
      <c r="W348" s="126"/>
      <c r="X348" s="1096"/>
      <c r="Y348" s="1096"/>
      <c r="Z348" s="1086"/>
      <c r="AA348" s="1086"/>
      <c r="AB348" s="1086"/>
      <c r="AC348" s="1086"/>
      <c r="AD348" s="1086"/>
      <c r="AE348" s="1086"/>
      <c r="AF348" s="1086"/>
      <c r="AG348" s="1086"/>
      <c r="AH348" s="1086"/>
      <c r="AI348" s="1086"/>
      <c r="AJ348" s="1086"/>
      <c r="AK348" s="1086"/>
      <c r="AL348" s="1086"/>
      <c r="AM348" s="1086"/>
      <c r="AN348" s="1086"/>
      <c r="AO348" s="1086"/>
      <c r="AP348" s="1086"/>
      <c r="AQ348" s="1086"/>
      <c r="AR348" s="1086"/>
    </row>
    <row r="349" spans="1:44" s="116" customFormat="1" ht="34.15" hidden="1" customHeight="1" x14ac:dyDescent="0.2">
      <c r="A349" s="888">
        <f t="shared" si="9"/>
        <v>114</v>
      </c>
      <c r="B349" s="878" t="s">
        <v>709</v>
      </c>
      <c r="C349" s="919" t="s">
        <v>710</v>
      </c>
      <c r="D349" s="1130">
        <v>0.74</v>
      </c>
      <c r="E349" s="2513"/>
      <c r="F349" s="1130">
        <v>0.74</v>
      </c>
      <c r="G349" s="2514"/>
      <c r="H349" s="125"/>
      <c r="I349" s="1096"/>
      <c r="J349" s="1096"/>
      <c r="K349" s="1096"/>
      <c r="L349" s="1096"/>
      <c r="M349" s="1096"/>
      <c r="N349" s="1096"/>
      <c r="O349" s="1096"/>
      <c r="P349" s="1096"/>
      <c r="Q349" s="1096"/>
      <c r="R349" s="1096"/>
      <c r="S349" s="1096"/>
      <c r="T349" s="1096"/>
      <c r="U349" s="1096"/>
      <c r="V349" s="1096"/>
      <c r="W349" s="126"/>
      <c r="X349" s="1096"/>
      <c r="Y349" s="1096"/>
      <c r="Z349" s="1086"/>
      <c r="AA349" s="1086"/>
      <c r="AB349" s="1086"/>
      <c r="AC349" s="1086"/>
      <c r="AD349" s="1086"/>
      <c r="AE349" s="1086"/>
      <c r="AF349" s="1086"/>
      <c r="AG349" s="1086"/>
      <c r="AH349" s="1086"/>
      <c r="AI349" s="1086"/>
      <c r="AJ349" s="1086"/>
      <c r="AK349" s="1086"/>
      <c r="AL349" s="1086"/>
      <c r="AM349" s="1086"/>
      <c r="AN349" s="1086"/>
      <c r="AO349" s="1086"/>
      <c r="AP349" s="1086"/>
      <c r="AQ349" s="1086"/>
      <c r="AR349" s="1086"/>
    </row>
    <row r="350" spans="1:44" s="116" customFormat="1" ht="34.15" hidden="1" customHeight="1" x14ac:dyDescent="0.2">
      <c r="A350" s="888">
        <f t="shared" si="9"/>
        <v>115</v>
      </c>
      <c r="B350" s="878" t="s">
        <v>711</v>
      </c>
      <c r="C350" s="919" t="s">
        <v>712</v>
      </c>
      <c r="D350" s="1130">
        <v>0.9</v>
      </c>
      <c r="E350" s="2513"/>
      <c r="F350" s="1130">
        <v>0.9</v>
      </c>
      <c r="G350" s="2514"/>
      <c r="H350" s="125"/>
      <c r="I350" s="1096"/>
      <c r="J350" s="1096"/>
      <c r="K350" s="1096"/>
      <c r="L350" s="1096"/>
      <c r="M350" s="1096"/>
      <c r="N350" s="1096"/>
      <c r="O350" s="1096"/>
      <c r="P350" s="1096"/>
      <c r="Q350" s="1096"/>
      <c r="R350" s="1096"/>
      <c r="S350" s="1096"/>
      <c r="T350" s="1096"/>
      <c r="U350" s="1096"/>
      <c r="V350" s="1096"/>
      <c r="W350" s="126"/>
      <c r="X350" s="1096"/>
      <c r="Y350" s="1096"/>
      <c r="Z350" s="1086"/>
      <c r="AA350" s="1086"/>
      <c r="AB350" s="1086"/>
      <c r="AC350" s="1086"/>
      <c r="AD350" s="1086"/>
      <c r="AE350" s="1086"/>
      <c r="AF350" s="1086"/>
      <c r="AG350" s="1086"/>
      <c r="AH350" s="1086"/>
      <c r="AI350" s="1086"/>
      <c r="AJ350" s="1086"/>
      <c r="AK350" s="1086"/>
      <c r="AL350" s="1086"/>
      <c r="AM350" s="1086"/>
      <c r="AN350" s="1086"/>
      <c r="AO350" s="1086"/>
      <c r="AP350" s="1086"/>
      <c r="AQ350" s="1086"/>
      <c r="AR350" s="1086"/>
    </row>
    <row r="351" spans="1:44" s="116" customFormat="1" ht="34.15" hidden="1" customHeight="1" x14ac:dyDescent="0.2">
      <c r="A351" s="888">
        <f t="shared" si="9"/>
        <v>116</v>
      </c>
      <c r="B351" s="878" t="s">
        <v>713</v>
      </c>
      <c r="C351" s="919" t="s">
        <v>714</v>
      </c>
      <c r="D351" s="1130">
        <v>0.39100000000000001</v>
      </c>
      <c r="E351" s="2513"/>
      <c r="F351" s="1130">
        <v>0.39100000000000001</v>
      </c>
      <c r="G351" s="2514"/>
      <c r="H351" s="125"/>
      <c r="I351" s="1096"/>
      <c r="J351" s="1096"/>
      <c r="K351" s="1096"/>
      <c r="L351" s="1096"/>
      <c r="M351" s="1096"/>
      <c r="N351" s="1096"/>
      <c r="O351" s="1096"/>
      <c r="P351" s="1096"/>
      <c r="Q351" s="1096"/>
      <c r="R351" s="1096"/>
      <c r="S351" s="1096"/>
      <c r="T351" s="1096"/>
      <c r="U351" s="1096"/>
      <c r="V351" s="1096"/>
      <c r="W351" s="126"/>
      <c r="X351" s="1096"/>
      <c r="Y351" s="1096"/>
      <c r="Z351" s="1086"/>
      <c r="AA351" s="1086"/>
      <c r="AB351" s="1086"/>
      <c r="AC351" s="1086"/>
      <c r="AD351" s="1086"/>
      <c r="AE351" s="1086"/>
      <c r="AF351" s="1086"/>
      <c r="AG351" s="1086"/>
      <c r="AH351" s="1086"/>
      <c r="AI351" s="1086"/>
      <c r="AJ351" s="1086"/>
      <c r="AK351" s="1086"/>
      <c r="AL351" s="1086"/>
      <c r="AM351" s="1086"/>
      <c r="AN351" s="1086"/>
      <c r="AO351" s="1086"/>
      <c r="AP351" s="1086"/>
      <c r="AQ351" s="1086"/>
      <c r="AR351" s="1086"/>
    </row>
    <row r="352" spans="1:44" s="116" customFormat="1" ht="34.15" hidden="1" customHeight="1" x14ac:dyDescent="0.2">
      <c r="A352" s="888">
        <f t="shared" si="9"/>
        <v>117</v>
      </c>
      <c r="B352" s="878" t="s">
        <v>715</v>
      </c>
      <c r="C352" s="919" t="s">
        <v>716</v>
      </c>
      <c r="D352" s="1130">
        <v>0.84299999999999997</v>
      </c>
      <c r="E352" s="2513"/>
      <c r="F352" s="1130">
        <v>0.84299999999999997</v>
      </c>
      <c r="G352" s="2514"/>
      <c r="H352" s="125"/>
      <c r="I352" s="1096"/>
      <c r="J352" s="1096"/>
      <c r="K352" s="1096"/>
      <c r="L352" s="1096"/>
      <c r="M352" s="1096"/>
      <c r="N352" s="1096"/>
      <c r="O352" s="1096"/>
      <c r="P352" s="1096"/>
      <c r="Q352" s="1096"/>
      <c r="R352" s="1096"/>
      <c r="S352" s="1096"/>
      <c r="T352" s="1096"/>
      <c r="U352" s="1096"/>
      <c r="V352" s="1096"/>
      <c r="W352" s="126"/>
      <c r="X352" s="1096"/>
      <c r="Y352" s="1096"/>
      <c r="Z352" s="1086"/>
      <c r="AA352" s="1086"/>
      <c r="AB352" s="1086"/>
      <c r="AC352" s="1086"/>
      <c r="AD352" s="1086"/>
      <c r="AE352" s="1086"/>
      <c r="AF352" s="1086"/>
      <c r="AG352" s="1086"/>
      <c r="AH352" s="1086"/>
      <c r="AI352" s="1086"/>
      <c r="AJ352" s="1086"/>
      <c r="AK352" s="1086"/>
      <c r="AL352" s="1086"/>
      <c r="AM352" s="1086"/>
      <c r="AN352" s="1086"/>
      <c r="AO352" s="1086"/>
      <c r="AP352" s="1086"/>
      <c r="AQ352" s="1086"/>
      <c r="AR352" s="1086"/>
    </row>
    <row r="353" spans="1:44" s="116" customFormat="1" ht="34.15" hidden="1" customHeight="1" x14ac:dyDescent="0.2">
      <c r="A353" s="888">
        <f t="shared" si="9"/>
        <v>118</v>
      </c>
      <c r="B353" s="878" t="s">
        <v>717</v>
      </c>
      <c r="C353" s="919" t="s">
        <v>718</v>
      </c>
      <c r="D353" s="1130">
        <v>1.5089999999999999</v>
      </c>
      <c r="E353" s="2513"/>
      <c r="F353" s="1130">
        <v>1.5089999999999999</v>
      </c>
      <c r="G353" s="2514"/>
      <c r="H353" s="125"/>
      <c r="I353" s="1096"/>
      <c r="J353" s="1096"/>
      <c r="K353" s="1096"/>
      <c r="L353" s="1096"/>
      <c r="M353" s="1096"/>
      <c r="N353" s="1096"/>
      <c r="O353" s="1096"/>
      <c r="P353" s="1096"/>
      <c r="Q353" s="1096"/>
      <c r="R353" s="1096"/>
      <c r="S353" s="1096"/>
      <c r="T353" s="1096"/>
      <c r="U353" s="1096"/>
      <c r="V353" s="1096"/>
      <c r="W353" s="126"/>
      <c r="X353" s="1096"/>
      <c r="Y353" s="1096"/>
      <c r="Z353" s="1086"/>
      <c r="AA353" s="1086"/>
      <c r="AB353" s="1086"/>
      <c r="AC353" s="1086"/>
      <c r="AD353" s="1086"/>
      <c r="AE353" s="1086"/>
      <c r="AF353" s="1086"/>
      <c r="AG353" s="1086"/>
      <c r="AH353" s="1086"/>
      <c r="AI353" s="1086"/>
      <c r="AJ353" s="1086"/>
      <c r="AK353" s="1086"/>
      <c r="AL353" s="1086"/>
      <c r="AM353" s="1086"/>
      <c r="AN353" s="1086"/>
      <c r="AO353" s="1086"/>
      <c r="AP353" s="1086"/>
      <c r="AQ353" s="1086"/>
      <c r="AR353" s="1086"/>
    </row>
    <row r="354" spans="1:44" s="116" customFormat="1" ht="52.15" hidden="1" customHeight="1" x14ac:dyDescent="0.2">
      <c r="A354" s="888">
        <f t="shared" si="9"/>
        <v>119</v>
      </c>
      <c r="B354" s="878">
        <v>3407144</v>
      </c>
      <c r="C354" s="919" t="s">
        <v>719</v>
      </c>
      <c r="D354" s="1130">
        <v>4.3369999999999997</v>
      </c>
      <c r="E354" s="2513"/>
      <c r="F354" s="1130">
        <v>4.3369999999999997</v>
      </c>
      <c r="G354" s="2514"/>
      <c r="H354" s="125"/>
      <c r="I354" s="1096"/>
      <c r="J354" s="1096"/>
      <c r="K354" s="1096"/>
      <c r="L354" s="1096"/>
      <c r="M354" s="1096"/>
      <c r="N354" s="1096"/>
      <c r="O354" s="1096"/>
      <c r="P354" s="1096"/>
      <c r="Q354" s="1096"/>
      <c r="R354" s="1096"/>
      <c r="S354" s="1096"/>
      <c r="T354" s="1096"/>
      <c r="U354" s="1096"/>
      <c r="V354" s="1096"/>
      <c r="W354" s="126"/>
      <c r="X354" s="1096"/>
      <c r="Y354" s="1096"/>
      <c r="Z354" s="1086"/>
      <c r="AA354" s="1086"/>
      <c r="AB354" s="1086"/>
      <c r="AC354" s="1086"/>
      <c r="AD354" s="1086"/>
      <c r="AE354" s="1086"/>
      <c r="AF354" s="1086"/>
      <c r="AG354" s="1086"/>
      <c r="AH354" s="1086"/>
      <c r="AI354" s="1086"/>
      <c r="AJ354" s="1086"/>
      <c r="AK354" s="1086"/>
      <c r="AL354" s="1086"/>
      <c r="AM354" s="1086"/>
      <c r="AN354" s="1086"/>
      <c r="AO354" s="1086"/>
      <c r="AP354" s="1086"/>
      <c r="AQ354" s="1086"/>
      <c r="AR354" s="1086"/>
    </row>
    <row r="355" spans="1:44" s="116" customFormat="1" ht="34.15" hidden="1" customHeight="1" x14ac:dyDescent="0.2">
      <c r="A355" s="888">
        <f t="shared" si="9"/>
        <v>120</v>
      </c>
      <c r="B355" s="878">
        <v>2245227</v>
      </c>
      <c r="C355" s="919" t="s">
        <v>720</v>
      </c>
      <c r="D355" s="1130">
        <v>0.219</v>
      </c>
      <c r="E355" s="2513"/>
      <c r="F355" s="1130">
        <v>0.219</v>
      </c>
      <c r="G355" s="2514"/>
      <c r="H355" s="125"/>
      <c r="I355" s="1096"/>
      <c r="J355" s="1096"/>
      <c r="K355" s="1096"/>
      <c r="L355" s="1096"/>
      <c r="M355" s="1096"/>
      <c r="N355" s="1096"/>
      <c r="O355" s="1096"/>
      <c r="P355" s="1096"/>
      <c r="Q355" s="1096"/>
      <c r="R355" s="1096"/>
      <c r="S355" s="1096"/>
      <c r="T355" s="1096"/>
      <c r="U355" s="1096"/>
      <c r="V355" s="1096"/>
      <c r="W355" s="126"/>
      <c r="X355" s="1096"/>
      <c r="Y355" s="1096"/>
      <c r="Z355" s="1086"/>
      <c r="AA355" s="1086"/>
      <c r="AB355" s="1086"/>
      <c r="AC355" s="1086"/>
      <c r="AD355" s="1086"/>
      <c r="AE355" s="1086"/>
      <c r="AF355" s="1086"/>
      <c r="AG355" s="1086"/>
      <c r="AH355" s="1086"/>
      <c r="AI355" s="1086"/>
      <c r="AJ355" s="1086"/>
      <c r="AK355" s="1086"/>
      <c r="AL355" s="1086"/>
      <c r="AM355" s="1086"/>
      <c r="AN355" s="1086"/>
      <c r="AO355" s="1086"/>
      <c r="AP355" s="1086"/>
      <c r="AQ355" s="1086"/>
      <c r="AR355" s="1086"/>
    </row>
    <row r="356" spans="1:44" s="116" customFormat="1" ht="34.15" hidden="1" customHeight="1" x14ac:dyDescent="0.2">
      <c r="A356" s="888">
        <f t="shared" si="9"/>
        <v>121</v>
      </c>
      <c r="B356" s="878" t="s">
        <v>721</v>
      </c>
      <c r="C356" s="919" t="s">
        <v>722</v>
      </c>
      <c r="D356" s="1130">
        <v>1.3</v>
      </c>
      <c r="E356" s="2513"/>
      <c r="F356" s="1130">
        <v>1.3</v>
      </c>
      <c r="G356" s="2514"/>
      <c r="H356" s="125"/>
      <c r="I356" s="1096"/>
      <c r="J356" s="1096"/>
      <c r="K356" s="1096"/>
      <c r="L356" s="1096"/>
      <c r="M356" s="1096"/>
      <c r="N356" s="1096"/>
      <c r="O356" s="1096"/>
      <c r="P356" s="1096"/>
      <c r="Q356" s="1096"/>
      <c r="R356" s="1096"/>
      <c r="S356" s="1096"/>
      <c r="T356" s="1096"/>
      <c r="U356" s="1096"/>
      <c r="V356" s="1096"/>
      <c r="W356" s="126"/>
      <c r="X356" s="1096"/>
      <c r="Y356" s="1096"/>
      <c r="Z356" s="1086"/>
      <c r="AA356" s="1086"/>
      <c r="AB356" s="1086"/>
      <c r="AC356" s="1086"/>
      <c r="AD356" s="1086"/>
      <c r="AE356" s="1086"/>
      <c r="AF356" s="1086"/>
      <c r="AG356" s="1086"/>
      <c r="AH356" s="1086"/>
      <c r="AI356" s="1086"/>
      <c r="AJ356" s="1086"/>
      <c r="AK356" s="1086"/>
      <c r="AL356" s="1086"/>
      <c r="AM356" s="1086"/>
      <c r="AN356" s="1086"/>
      <c r="AO356" s="1086"/>
      <c r="AP356" s="1086"/>
      <c r="AQ356" s="1086"/>
      <c r="AR356" s="1086"/>
    </row>
    <row r="357" spans="1:44" s="116" customFormat="1" ht="34.15" hidden="1" customHeight="1" x14ac:dyDescent="0.2">
      <c r="A357" s="888">
        <f t="shared" si="9"/>
        <v>122</v>
      </c>
      <c r="B357" s="878" t="s">
        <v>723</v>
      </c>
      <c r="C357" s="919" t="s">
        <v>724</v>
      </c>
      <c r="D357" s="1130">
        <v>0.55000000000000004</v>
      </c>
      <c r="E357" s="2513"/>
      <c r="F357" s="1130">
        <v>0.55000000000000004</v>
      </c>
      <c r="G357" s="2514"/>
      <c r="H357" s="125"/>
      <c r="I357" s="1096"/>
      <c r="J357" s="1096"/>
      <c r="K357" s="1096"/>
      <c r="L357" s="1096"/>
      <c r="M357" s="1096"/>
      <c r="N357" s="1096"/>
      <c r="O357" s="1096"/>
      <c r="P357" s="1096"/>
      <c r="Q357" s="1096"/>
      <c r="R357" s="1096"/>
      <c r="S357" s="1096"/>
      <c r="T357" s="1096"/>
      <c r="U357" s="1096"/>
      <c r="V357" s="1096"/>
      <c r="W357" s="126"/>
      <c r="X357" s="1096"/>
      <c r="Y357" s="1096"/>
      <c r="Z357" s="1086"/>
      <c r="AA357" s="1086"/>
      <c r="AB357" s="1086"/>
      <c r="AC357" s="1086"/>
      <c r="AD357" s="1086"/>
      <c r="AE357" s="1086"/>
      <c r="AF357" s="1086"/>
      <c r="AG357" s="1086"/>
      <c r="AH357" s="1086"/>
      <c r="AI357" s="1086"/>
      <c r="AJ357" s="1086"/>
      <c r="AK357" s="1086"/>
      <c r="AL357" s="1086"/>
      <c r="AM357" s="1086"/>
      <c r="AN357" s="1086"/>
      <c r="AO357" s="1086"/>
      <c r="AP357" s="1086"/>
      <c r="AQ357" s="1086"/>
      <c r="AR357" s="1086"/>
    </row>
    <row r="358" spans="1:44" s="116" customFormat="1" ht="34.15" hidden="1" customHeight="1" x14ac:dyDescent="0.2">
      <c r="A358" s="888">
        <f t="shared" si="9"/>
        <v>123</v>
      </c>
      <c r="B358" s="878" t="s">
        <v>725</v>
      </c>
      <c r="C358" s="919" t="s">
        <v>726</v>
      </c>
      <c r="D358" s="1130">
        <v>0.82899999999999996</v>
      </c>
      <c r="E358" s="2513"/>
      <c r="F358" s="1130">
        <v>0.82899999999999996</v>
      </c>
      <c r="G358" s="2514"/>
      <c r="H358" s="125"/>
      <c r="I358" s="1096"/>
      <c r="J358" s="1096"/>
      <c r="K358" s="1096"/>
      <c r="L358" s="1096"/>
      <c r="M358" s="1096"/>
      <c r="N358" s="1096"/>
      <c r="O358" s="1096"/>
      <c r="P358" s="1096"/>
      <c r="Q358" s="1096"/>
      <c r="R358" s="1096"/>
      <c r="S358" s="1096"/>
      <c r="T358" s="1096"/>
      <c r="U358" s="1096"/>
      <c r="V358" s="1096"/>
      <c r="W358" s="126"/>
      <c r="X358" s="1096"/>
      <c r="Y358" s="1096"/>
      <c r="Z358" s="1086"/>
      <c r="AA358" s="1086"/>
      <c r="AB358" s="1086"/>
      <c r="AC358" s="1086"/>
      <c r="AD358" s="1086"/>
      <c r="AE358" s="1086"/>
      <c r="AF358" s="1086"/>
      <c r="AG358" s="1086"/>
      <c r="AH358" s="1086"/>
      <c r="AI358" s="1086"/>
      <c r="AJ358" s="1086"/>
      <c r="AK358" s="1086"/>
      <c r="AL358" s="1086"/>
      <c r="AM358" s="1086"/>
      <c r="AN358" s="1086"/>
      <c r="AO358" s="1086"/>
      <c r="AP358" s="1086"/>
      <c r="AQ358" s="1086"/>
      <c r="AR358" s="1086"/>
    </row>
    <row r="359" spans="1:44" s="116" customFormat="1" ht="34.15" hidden="1" customHeight="1" x14ac:dyDescent="0.2">
      <c r="A359" s="888">
        <f t="shared" si="9"/>
        <v>124</v>
      </c>
      <c r="B359" s="878"/>
      <c r="C359" s="919" t="s">
        <v>727</v>
      </c>
      <c r="D359" s="1130">
        <v>0.78200000000000003</v>
      </c>
      <c r="E359" s="2513"/>
      <c r="F359" s="1130">
        <v>0.78200000000000003</v>
      </c>
      <c r="G359" s="2514"/>
      <c r="H359" s="125"/>
      <c r="I359" s="1096"/>
      <c r="J359" s="1096"/>
      <c r="K359" s="1096"/>
      <c r="L359" s="1096"/>
      <c r="M359" s="1096"/>
      <c r="N359" s="1096"/>
      <c r="O359" s="1096"/>
      <c r="P359" s="1096"/>
      <c r="Q359" s="1096"/>
      <c r="R359" s="1096"/>
      <c r="S359" s="1096"/>
      <c r="T359" s="1096"/>
      <c r="U359" s="1096"/>
      <c r="V359" s="1096"/>
      <c r="W359" s="126"/>
      <c r="X359" s="1096"/>
      <c r="Y359" s="1096"/>
      <c r="Z359" s="1086"/>
      <c r="AA359" s="1086"/>
      <c r="AB359" s="1086"/>
      <c r="AC359" s="1086"/>
      <c r="AD359" s="1086"/>
      <c r="AE359" s="1086"/>
      <c r="AF359" s="1086"/>
      <c r="AG359" s="1086"/>
      <c r="AH359" s="1086"/>
      <c r="AI359" s="1086"/>
      <c r="AJ359" s="1086"/>
      <c r="AK359" s="1086"/>
      <c r="AL359" s="1086"/>
      <c r="AM359" s="1086"/>
      <c r="AN359" s="1086"/>
      <c r="AO359" s="1086"/>
      <c r="AP359" s="1086"/>
      <c r="AQ359" s="1086"/>
      <c r="AR359" s="1086"/>
    </row>
    <row r="360" spans="1:44" s="116" customFormat="1" ht="34.15" hidden="1" customHeight="1" x14ac:dyDescent="0.2">
      <c r="A360" s="888">
        <f t="shared" si="9"/>
        <v>125</v>
      </c>
      <c r="B360" s="878" t="s">
        <v>728</v>
      </c>
      <c r="C360" s="919" t="s">
        <v>729</v>
      </c>
      <c r="D360" s="1130">
        <v>0.439</v>
      </c>
      <c r="E360" s="2513"/>
      <c r="F360" s="1130">
        <v>0.439</v>
      </c>
      <c r="G360" s="2514"/>
      <c r="H360" s="125"/>
      <c r="I360" s="1096"/>
      <c r="J360" s="1096"/>
      <c r="K360" s="1096"/>
      <c r="L360" s="1096"/>
      <c r="M360" s="1096"/>
      <c r="N360" s="1096"/>
      <c r="O360" s="1096"/>
      <c r="P360" s="1096"/>
      <c r="Q360" s="1096"/>
      <c r="R360" s="1096"/>
      <c r="S360" s="1096"/>
      <c r="T360" s="1096"/>
      <c r="U360" s="1096"/>
      <c r="V360" s="1096"/>
      <c r="W360" s="126"/>
      <c r="X360" s="1096"/>
      <c r="Y360" s="1096"/>
      <c r="Z360" s="1086"/>
      <c r="AA360" s="1086"/>
      <c r="AB360" s="1086"/>
      <c r="AC360" s="1086"/>
      <c r="AD360" s="1086"/>
      <c r="AE360" s="1086"/>
      <c r="AF360" s="1086"/>
      <c r="AG360" s="1086"/>
      <c r="AH360" s="1086"/>
      <c r="AI360" s="1086"/>
      <c r="AJ360" s="1086"/>
      <c r="AK360" s="1086"/>
      <c r="AL360" s="1086"/>
      <c r="AM360" s="1086"/>
      <c r="AN360" s="1086"/>
      <c r="AO360" s="1086"/>
      <c r="AP360" s="1086"/>
      <c r="AQ360" s="1086"/>
      <c r="AR360" s="1086"/>
    </row>
    <row r="361" spans="1:44" s="116" customFormat="1" ht="34.15" hidden="1" customHeight="1" x14ac:dyDescent="0.2">
      <c r="A361" s="888">
        <f t="shared" si="9"/>
        <v>126</v>
      </c>
      <c r="B361" s="878" t="s">
        <v>730</v>
      </c>
      <c r="C361" s="919" t="s">
        <v>731</v>
      </c>
      <c r="D361" s="1130">
        <v>1.087</v>
      </c>
      <c r="E361" s="2513"/>
      <c r="F361" s="1130">
        <v>1.087</v>
      </c>
      <c r="G361" s="2514"/>
      <c r="H361" s="125"/>
      <c r="I361" s="1096"/>
      <c r="J361" s="1096"/>
      <c r="K361" s="1096"/>
      <c r="L361" s="1096"/>
      <c r="M361" s="1096"/>
      <c r="N361" s="1096"/>
      <c r="O361" s="1096"/>
      <c r="P361" s="1096"/>
      <c r="Q361" s="1096"/>
      <c r="R361" s="1096"/>
      <c r="S361" s="1096"/>
      <c r="T361" s="1096"/>
      <c r="U361" s="1096"/>
      <c r="V361" s="1096"/>
      <c r="W361" s="126"/>
      <c r="X361" s="1096"/>
      <c r="Y361" s="1096"/>
      <c r="Z361" s="1086"/>
      <c r="AA361" s="1086"/>
      <c r="AB361" s="1086"/>
      <c r="AC361" s="1086"/>
      <c r="AD361" s="1086"/>
      <c r="AE361" s="1086"/>
      <c r="AF361" s="1086"/>
      <c r="AG361" s="1086"/>
      <c r="AH361" s="1086"/>
      <c r="AI361" s="1086"/>
      <c r="AJ361" s="1086"/>
      <c r="AK361" s="1086"/>
      <c r="AL361" s="1086"/>
      <c r="AM361" s="1086"/>
      <c r="AN361" s="1086"/>
      <c r="AO361" s="1086"/>
      <c r="AP361" s="1086"/>
      <c r="AQ361" s="1086"/>
      <c r="AR361" s="1086"/>
    </row>
    <row r="362" spans="1:44" s="116" customFormat="1" ht="34.15" hidden="1" customHeight="1" x14ac:dyDescent="0.2">
      <c r="A362" s="888">
        <f t="shared" si="9"/>
        <v>127</v>
      </c>
      <c r="B362" s="878" t="s">
        <v>732</v>
      </c>
      <c r="C362" s="919" t="s">
        <v>733</v>
      </c>
      <c r="D362" s="1130">
        <v>1.728</v>
      </c>
      <c r="E362" s="2513"/>
      <c r="F362" s="1130">
        <v>1.728</v>
      </c>
      <c r="G362" s="2514"/>
      <c r="H362" s="125"/>
      <c r="I362" s="1096"/>
      <c r="J362" s="1096"/>
      <c r="K362" s="1096"/>
      <c r="L362" s="1096"/>
      <c r="M362" s="1096"/>
      <c r="N362" s="1096"/>
      <c r="O362" s="1096"/>
      <c r="P362" s="1096"/>
      <c r="Q362" s="1096"/>
      <c r="R362" s="1096"/>
      <c r="S362" s="1096"/>
      <c r="T362" s="1096"/>
      <c r="U362" s="1096"/>
      <c r="V362" s="1096"/>
      <c r="W362" s="126"/>
      <c r="X362" s="1096"/>
      <c r="Y362" s="1096"/>
      <c r="Z362" s="1086"/>
      <c r="AA362" s="1086"/>
      <c r="AB362" s="1086"/>
      <c r="AC362" s="1086"/>
      <c r="AD362" s="1086"/>
      <c r="AE362" s="1086"/>
      <c r="AF362" s="1086"/>
      <c r="AG362" s="1086"/>
      <c r="AH362" s="1086"/>
      <c r="AI362" s="1086"/>
      <c r="AJ362" s="1086"/>
      <c r="AK362" s="1086"/>
      <c r="AL362" s="1086"/>
      <c r="AM362" s="1086"/>
      <c r="AN362" s="1086"/>
      <c r="AO362" s="1086"/>
      <c r="AP362" s="1086"/>
      <c r="AQ362" s="1086"/>
      <c r="AR362" s="1086"/>
    </row>
    <row r="363" spans="1:44" s="116" customFormat="1" ht="34.15" hidden="1" customHeight="1" x14ac:dyDescent="0.2">
      <c r="A363" s="888">
        <f t="shared" si="9"/>
        <v>128</v>
      </c>
      <c r="B363" s="878" t="s">
        <v>734</v>
      </c>
      <c r="C363" s="919" t="s">
        <v>735</v>
      </c>
      <c r="D363" s="1130">
        <v>0.24399999999999999</v>
      </c>
      <c r="E363" s="2513"/>
      <c r="F363" s="1130">
        <v>0.24399999999999999</v>
      </c>
      <c r="G363" s="2514"/>
      <c r="H363" s="125"/>
      <c r="I363" s="1096"/>
      <c r="J363" s="1096"/>
      <c r="K363" s="1096"/>
      <c r="L363" s="1096"/>
      <c r="M363" s="1096"/>
      <c r="N363" s="1096"/>
      <c r="O363" s="1096"/>
      <c r="P363" s="1096"/>
      <c r="Q363" s="1096"/>
      <c r="R363" s="1096"/>
      <c r="S363" s="1096"/>
      <c r="T363" s="1096"/>
      <c r="U363" s="1096"/>
      <c r="V363" s="1096"/>
      <c r="W363" s="126"/>
      <c r="X363" s="1096"/>
      <c r="Y363" s="1096"/>
      <c r="Z363" s="1086"/>
      <c r="AA363" s="1086"/>
      <c r="AB363" s="1086"/>
      <c r="AC363" s="1086"/>
      <c r="AD363" s="1086"/>
      <c r="AE363" s="1086"/>
      <c r="AF363" s="1086"/>
      <c r="AG363" s="1086"/>
      <c r="AH363" s="1086"/>
      <c r="AI363" s="1086"/>
      <c r="AJ363" s="1086"/>
      <c r="AK363" s="1086"/>
      <c r="AL363" s="1086"/>
      <c r="AM363" s="1086"/>
      <c r="AN363" s="1086"/>
      <c r="AO363" s="1086"/>
      <c r="AP363" s="1086"/>
      <c r="AQ363" s="1086"/>
      <c r="AR363" s="1086"/>
    </row>
    <row r="364" spans="1:44" s="116" customFormat="1" ht="34.15" hidden="1" customHeight="1" x14ac:dyDescent="0.2">
      <c r="A364" s="888">
        <f t="shared" si="9"/>
        <v>129</v>
      </c>
      <c r="B364" s="878" t="s">
        <v>736</v>
      </c>
      <c r="C364" s="919" t="s">
        <v>737</v>
      </c>
      <c r="D364" s="1130">
        <v>1.1100000000000001</v>
      </c>
      <c r="E364" s="2513"/>
      <c r="F364" s="1130">
        <v>1.1100000000000001</v>
      </c>
      <c r="G364" s="2514"/>
      <c r="H364" s="125"/>
      <c r="I364" s="1096"/>
      <c r="J364" s="1096"/>
      <c r="K364" s="1096"/>
      <c r="L364" s="1096"/>
      <c r="M364" s="1096"/>
      <c r="N364" s="1096"/>
      <c r="O364" s="1096"/>
      <c r="P364" s="1096"/>
      <c r="Q364" s="1096"/>
      <c r="R364" s="1096"/>
      <c r="S364" s="1096"/>
      <c r="T364" s="1096"/>
      <c r="U364" s="1096"/>
      <c r="V364" s="1096"/>
      <c r="W364" s="126"/>
      <c r="X364" s="1096"/>
      <c r="Y364" s="1096"/>
      <c r="Z364" s="1086"/>
      <c r="AA364" s="1086"/>
      <c r="AB364" s="1086"/>
      <c r="AC364" s="1086"/>
      <c r="AD364" s="1086"/>
      <c r="AE364" s="1086"/>
      <c r="AF364" s="1086"/>
      <c r="AG364" s="1086"/>
      <c r="AH364" s="1086"/>
      <c r="AI364" s="1086"/>
      <c r="AJ364" s="1086"/>
      <c r="AK364" s="1086"/>
      <c r="AL364" s="1086"/>
      <c r="AM364" s="1086"/>
      <c r="AN364" s="1086"/>
      <c r="AO364" s="1086"/>
      <c r="AP364" s="1086"/>
      <c r="AQ364" s="1086"/>
      <c r="AR364" s="1086"/>
    </row>
    <row r="365" spans="1:44" s="116" customFormat="1" ht="34.15" hidden="1" customHeight="1" x14ac:dyDescent="0.2">
      <c r="A365" s="888">
        <f t="shared" si="9"/>
        <v>130</v>
      </c>
      <c r="B365" s="878" t="s">
        <v>738</v>
      </c>
      <c r="C365" s="919" t="s">
        <v>739</v>
      </c>
      <c r="D365" s="1130">
        <v>1.794</v>
      </c>
      <c r="E365" s="2513"/>
      <c r="F365" s="1130">
        <v>1.794</v>
      </c>
      <c r="G365" s="2514"/>
      <c r="H365" s="125"/>
      <c r="I365" s="1096"/>
      <c r="J365" s="1096"/>
      <c r="K365" s="1096"/>
      <c r="L365" s="1096"/>
      <c r="M365" s="1096"/>
      <c r="N365" s="1096"/>
      <c r="O365" s="1096"/>
      <c r="P365" s="1096"/>
      <c r="Q365" s="1096"/>
      <c r="R365" s="1096"/>
      <c r="S365" s="1096"/>
      <c r="T365" s="1096"/>
      <c r="U365" s="1096"/>
      <c r="V365" s="1096"/>
      <c r="W365" s="126"/>
      <c r="X365" s="1096"/>
      <c r="Y365" s="1096"/>
      <c r="Z365" s="1086"/>
      <c r="AA365" s="1086"/>
      <c r="AB365" s="1086"/>
      <c r="AC365" s="1086"/>
      <c r="AD365" s="1086"/>
      <c r="AE365" s="1086"/>
      <c r="AF365" s="1086"/>
      <c r="AG365" s="1086"/>
      <c r="AH365" s="1086"/>
      <c r="AI365" s="1086"/>
      <c r="AJ365" s="1086"/>
      <c r="AK365" s="1086"/>
      <c r="AL365" s="1086"/>
      <c r="AM365" s="1086"/>
      <c r="AN365" s="1086"/>
      <c r="AO365" s="1086"/>
      <c r="AP365" s="1086"/>
      <c r="AQ365" s="1086"/>
      <c r="AR365" s="1086"/>
    </row>
    <row r="366" spans="1:44" s="116" customFormat="1" ht="34.15" hidden="1" customHeight="1" x14ac:dyDescent="0.2">
      <c r="A366" s="888">
        <f t="shared" si="9"/>
        <v>131</v>
      </c>
      <c r="B366" s="878" t="s">
        <v>740</v>
      </c>
      <c r="C366" s="919" t="s">
        <v>741</v>
      </c>
      <c r="D366" s="1130">
        <v>0.49199999999999999</v>
      </c>
      <c r="E366" s="2513"/>
      <c r="F366" s="1130">
        <v>0.49199999999999999</v>
      </c>
      <c r="G366" s="2514"/>
      <c r="H366" s="125"/>
      <c r="I366" s="1096"/>
      <c r="J366" s="1096"/>
      <c r="K366" s="1096"/>
      <c r="L366" s="1096"/>
      <c r="M366" s="1096"/>
      <c r="N366" s="1096"/>
      <c r="O366" s="1096"/>
      <c r="P366" s="1096"/>
      <c r="Q366" s="1096"/>
      <c r="R366" s="1096"/>
      <c r="S366" s="1096"/>
      <c r="T366" s="1096"/>
      <c r="U366" s="1096"/>
      <c r="V366" s="1096"/>
      <c r="W366" s="126"/>
      <c r="X366" s="1096"/>
      <c r="Y366" s="1096"/>
      <c r="Z366" s="1086"/>
      <c r="AA366" s="1086"/>
      <c r="AB366" s="1086"/>
      <c r="AC366" s="1086"/>
      <c r="AD366" s="1086"/>
      <c r="AE366" s="1086"/>
      <c r="AF366" s="1086"/>
      <c r="AG366" s="1086"/>
      <c r="AH366" s="1086"/>
      <c r="AI366" s="1086"/>
      <c r="AJ366" s="1086"/>
      <c r="AK366" s="1086"/>
      <c r="AL366" s="1086"/>
      <c r="AM366" s="1086"/>
      <c r="AN366" s="1086"/>
      <c r="AO366" s="1086"/>
      <c r="AP366" s="1086"/>
      <c r="AQ366" s="1086"/>
      <c r="AR366" s="1086"/>
    </row>
    <row r="367" spans="1:44" s="116" customFormat="1" ht="34.15" hidden="1" customHeight="1" x14ac:dyDescent="0.2">
      <c r="A367" s="888">
        <f t="shared" si="9"/>
        <v>132</v>
      </c>
      <c r="B367" s="878" t="s">
        <v>742</v>
      </c>
      <c r="C367" s="919" t="s">
        <v>743</v>
      </c>
      <c r="D367" s="1130">
        <v>1.89</v>
      </c>
      <c r="E367" s="2513"/>
      <c r="F367" s="1130">
        <v>1.89</v>
      </c>
      <c r="G367" s="2514"/>
      <c r="H367" s="125"/>
      <c r="I367" s="1096"/>
      <c r="J367" s="1096"/>
      <c r="K367" s="1096"/>
      <c r="L367" s="1096"/>
      <c r="M367" s="1096"/>
      <c r="N367" s="1096"/>
      <c r="O367" s="1096"/>
      <c r="P367" s="1096"/>
      <c r="Q367" s="1096"/>
      <c r="R367" s="1096"/>
      <c r="S367" s="1096"/>
      <c r="T367" s="1096"/>
      <c r="U367" s="1096"/>
      <c r="V367" s="1096"/>
      <c r="W367" s="126"/>
      <c r="X367" s="1096"/>
      <c r="Y367" s="1096"/>
      <c r="Z367" s="1086"/>
      <c r="AA367" s="1086"/>
      <c r="AB367" s="1086"/>
      <c r="AC367" s="1086"/>
      <c r="AD367" s="1086"/>
      <c r="AE367" s="1086"/>
      <c r="AF367" s="1086"/>
      <c r="AG367" s="1086"/>
      <c r="AH367" s="1086"/>
      <c r="AI367" s="1086"/>
      <c r="AJ367" s="1086"/>
      <c r="AK367" s="1086"/>
      <c r="AL367" s="1086"/>
      <c r="AM367" s="1086"/>
      <c r="AN367" s="1086"/>
      <c r="AO367" s="1086"/>
      <c r="AP367" s="1086"/>
      <c r="AQ367" s="1086"/>
      <c r="AR367" s="1086"/>
    </row>
    <row r="368" spans="1:44" s="116" customFormat="1" ht="34.15" hidden="1" customHeight="1" x14ac:dyDescent="0.2">
      <c r="A368" s="888">
        <f t="shared" si="9"/>
        <v>133</v>
      </c>
      <c r="B368" s="878" t="s">
        <v>744</v>
      </c>
      <c r="C368" s="919" t="s">
        <v>745</v>
      </c>
      <c r="D368" s="1130">
        <v>2.48</v>
      </c>
      <c r="E368" s="2513"/>
      <c r="F368" s="1130">
        <v>2.48</v>
      </c>
      <c r="G368" s="2514"/>
      <c r="H368" s="125"/>
      <c r="I368" s="1096"/>
      <c r="J368" s="1096"/>
      <c r="K368" s="1096"/>
      <c r="L368" s="1096"/>
      <c r="M368" s="1096"/>
      <c r="N368" s="1096"/>
      <c r="O368" s="1096"/>
      <c r="P368" s="1096"/>
      <c r="Q368" s="1096"/>
      <c r="R368" s="1096"/>
      <c r="S368" s="1096"/>
      <c r="T368" s="1096"/>
      <c r="U368" s="1096"/>
      <c r="V368" s="1096"/>
      <c r="W368" s="126"/>
      <c r="X368" s="1096"/>
      <c r="Y368" s="1096"/>
      <c r="Z368" s="1086"/>
      <c r="AA368" s="1086"/>
      <c r="AB368" s="1086"/>
      <c r="AC368" s="1086"/>
      <c r="AD368" s="1086"/>
      <c r="AE368" s="1086"/>
      <c r="AF368" s="1086"/>
      <c r="AG368" s="1086"/>
      <c r="AH368" s="1086"/>
      <c r="AI368" s="1086"/>
      <c r="AJ368" s="1086"/>
      <c r="AK368" s="1086"/>
      <c r="AL368" s="1086"/>
      <c r="AM368" s="1086"/>
      <c r="AN368" s="1086"/>
      <c r="AO368" s="1086"/>
      <c r="AP368" s="1086"/>
      <c r="AQ368" s="1086"/>
      <c r="AR368" s="1086"/>
    </row>
    <row r="369" spans="1:44" s="116" customFormat="1" ht="34.15" hidden="1" customHeight="1" x14ac:dyDescent="0.2">
      <c r="A369" s="888">
        <f t="shared" si="9"/>
        <v>134</v>
      </c>
      <c r="B369" s="878" t="s">
        <v>746</v>
      </c>
      <c r="C369" s="919" t="s">
        <v>747</v>
      </c>
      <c r="D369" s="1130">
        <v>0.32400000000000001</v>
      </c>
      <c r="E369" s="2513"/>
      <c r="F369" s="1130">
        <v>0.32400000000000001</v>
      </c>
      <c r="G369" s="2514"/>
      <c r="H369" s="125"/>
      <c r="I369" s="1096"/>
      <c r="J369" s="1096"/>
      <c r="K369" s="1096"/>
      <c r="L369" s="1096"/>
      <c r="M369" s="1096"/>
      <c r="N369" s="1096"/>
      <c r="O369" s="1096"/>
      <c r="P369" s="1096"/>
      <c r="Q369" s="1096"/>
      <c r="R369" s="1096"/>
      <c r="S369" s="1096"/>
      <c r="T369" s="1096"/>
      <c r="U369" s="1096"/>
      <c r="V369" s="1096"/>
      <c r="W369" s="126"/>
      <c r="X369" s="1096"/>
      <c r="Y369" s="1096"/>
      <c r="Z369" s="1086"/>
      <c r="AA369" s="1086"/>
      <c r="AB369" s="1086"/>
      <c r="AC369" s="1086"/>
      <c r="AD369" s="1086"/>
      <c r="AE369" s="1086"/>
      <c r="AF369" s="1086"/>
      <c r="AG369" s="1086"/>
      <c r="AH369" s="1086"/>
      <c r="AI369" s="1086"/>
      <c r="AJ369" s="1086"/>
      <c r="AK369" s="1086"/>
      <c r="AL369" s="1086"/>
      <c r="AM369" s="1086"/>
      <c r="AN369" s="1086"/>
      <c r="AO369" s="1086"/>
      <c r="AP369" s="1086"/>
      <c r="AQ369" s="1086"/>
      <c r="AR369" s="1086"/>
    </row>
    <row r="370" spans="1:44" s="116" customFormat="1" ht="34.15" hidden="1" customHeight="1" x14ac:dyDescent="0.2">
      <c r="A370" s="888">
        <f t="shared" si="9"/>
        <v>135</v>
      </c>
      <c r="B370" s="878" t="s">
        <v>748</v>
      </c>
      <c r="C370" s="919" t="s">
        <v>749</v>
      </c>
      <c r="D370" s="1130">
        <v>0.44700000000000001</v>
      </c>
      <c r="E370" s="2513"/>
      <c r="F370" s="1130">
        <v>0.44700000000000001</v>
      </c>
      <c r="G370" s="2514"/>
      <c r="H370" s="125"/>
      <c r="I370" s="1096"/>
      <c r="J370" s="1096"/>
      <c r="K370" s="1096"/>
      <c r="L370" s="1096"/>
      <c r="M370" s="1096"/>
      <c r="N370" s="1096"/>
      <c r="O370" s="1096"/>
      <c r="P370" s="1096"/>
      <c r="Q370" s="1096"/>
      <c r="R370" s="1096"/>
      <c r="S370" s="1096"/>
      <c r="T370" s="1096"/>
      <c r="U370" s="1096"/>
      <c r="V370" s="1096"/>
      <c r="W370" s="126"/>
      <c r="X370" s="1096"/>
      <c r="Y370" s="1096"/>
      <c r="Z370" s="1086"/>
      <c r="AA370" s="1086"/>
      <c r="AB370" s="1086"/>
      <c r="AC370" s="1086"/>
      <c r="AD370" s="1086"/>
      <c r="AE370" s="1086"/>
      <c r="AF370" s="1086"/>
      <c r="AG370" s="1086"/>
      <c r="AH370" s="1086"/>
      <c r="AI370" s="1086"/>
      <c r="AJ370" s="1086"/>
      <c r="AK370" s="1086"/>
      <c r="AL370" s="1086"/>
      <c r="AM370" s="1086"/>
      <c r="AN370" s="1086"/>
      <c r="AO370" s="1086"/>
      <c r="AP370" s="1086"/>
      <c r="AQ370" s="1086"/>
      <c r="AR370" s="1086"/>
    </row>
    <row r="371" spans="1:44" s="116" customFormat="1" ht="34.15" hidden="1" customHeight="1" x14ac:dyDescent="0.2">
      <c r="A371" s="888">
        <f t="shared" si="9"/>
        <v>136</v>
      </c>
      <c r="B371" s="878" t="s">
        <v>750</v>
      </c>
      <c r="C371" s="919" t="s">
        <v>751</v>
      </c>
      <c r="D371" s="1130">
        <v>0.872</v>
      </c>
      <c r="E371" s="2513"/>
      <c r="F371" s="1130">
        <v>0.872</v>
      </c>
      <c r="G371" s="2514"/>
      <c r="H371" s="125"/>
      <c r="I371" s="1096"/>
      <c r="J371" s="1096"/>
      <c r="K371" s="1096"/>
      <c r="L371" s="1096"/>
      <c r="M371" s="1096"/>
      <c r="N371" s="1096"/>
      <c r="O371" s="1096"/>
      <c r="P371" s="1096"/>
      <c r="Q371" s="1096"/>
      <c r="R371" s="1096"/>
      <c r="S371" s="1096"/>
      <c r="T371" s="1096"/>
      <c r="U371" s="1096"/>
      <c r="V371" s="1096"/>
      <c r="W371" s="126"/>
      <c r="X371" s="1096"/>
      <c r="Y371" s="1096"/>
      <c r="Z371" s="1086"/>
      <c r="AA371" s="1086"/>
      <c r="AB371" s="1086"/>
      <c r="AC371" s="1086"/>
      <c r="AD371" s="1086"/>
      <c r="AE371" s="1086"/>
      <c r="AF371" s="1086"/>
      <c r="AG371" s="1086"/>
      <c r="AH371" s="1086"/>
      <c r="AI371" s="1086"/>
      <c r="AJ371" s="1086"/>
      <c r="AK371" s="1086"/>
      <c r="AL371" s="1086"/>
      <c r="AM371" s="1086"/>
      <c r="AN371" s="1086"/>
      <c r="AO371" s="1086"/>
      <c r="AP371" s="1086"/>
      <c r="AQ371" s="1086"/>
      <c r="AR371" s="1086"/>
    </row>
    <row r="372" spans="1:44" s="116" customFormat="1" ht="34.15" hidden="1" customHeight="1" x14ac:dyDescent="0.2">
      <c r="A372" s="888">
        <f t="shared" si="9"/>
        <v>137</v>
      </c>
      <c r="B372" s="878" t="s">
        <v>752</v>
      </c>
      <c r="C372" s="919" t="s">
        <v>753</v>
      </c>
      <c r="D372" s="1130">
        <v>1</v>
      </c>
      <c r="E372" s="2513"/>
      <c r="F372" s="1130">
        <v>1</v>
      </c>
      <c r="G372" s="2514"/>
      <c r="H372" s="125"/>
      <c r="I372" s="1096"/>
      <c r="J372" s="1096"/>
      <c r="K372" s="1096"/>
      <c r="L372" s="1096"/>
      <c r="M372" s="1096"/>
      <c r="N372" s="1096"/>
      <c r="O372" s="1096"/>
      <c r="P372" s="1096"/>
      <c r="Q372" s="1096"/>
      <c r="R372" s="1096"/>
      <c r="S372" s="1096"/>
      <c r="T372" s="1096"/>
      <c r="U372" s="1096"/>
      <c r="V372" s="1096"/>
      <c r="W372" s="126"/>
      <c r="X372" s="1096"/>
      <c r="Y372" s="1096"/>
      <c r="Z372" s="1086"/>
      <c r="AA372" s="1086"/>
      <c r="AB372" s="1086"/>
      <c r="AC372" s="1086"/>
      <c r="AD372" s="1086"/>
      <c r="AE372" s="1086"/>
      <c r="AF372" s="1086"/>
      <c r="AG372" s="1086"/>
      <c r="AH372" s="1086"/>
      <c r="AI372" s="1086"/>
      <c r="AJ372" s="1086"/>
      <c r="AK372" s="1086"/>
      <c r="AL372" s="1086"/>
      <c r="AM372" s="1086"/>
      <c r="AN372" s="1086"/>
      <c r="AO372" s="1086"/>
      <c r="AP372" s="1086"/>
      <c r="AQ372" s="1086"/>
      <c r="AR372" s="1086"/>
    </row>
    <row r="373" spans="1:44" s="116" customFormat="1" ht="34.15" hidden="1" customHeight="1" x14ac:dyDescent="0.2">
      <c r="A373" s="888">
        <f t="shared" si="9"/>
        <v>138</v>
      </c>
      <c r="B373" s="878" t="s">
        <v>754</v>
      </c>
      <c r="C373" s="919" t="s">
        <v>755</v>
      </c>
      <c r="D373" s="1130">
        <v>0.4</v>
      </c>
      <c r="E373" s="2513"/>
      <c r="F373" s="1130">
        <v>0.4</v>
      </c>
      <c r="G373" s="2514"/>
      <c r="H373" s="125"/>
      <c r="I373" s="1096"/>
      <c r="J373" s="1096"/>
      <c r="K373" s="1096"/>
      <c r="L373" s="1096"/>
      <c r="M373" s="1096"/>
      <c r="N373" s="1096"/>
      <c r="O373" s="1096"/>
      <c r="P373" s="1096"/>
      <c r="Q373" s="1096"/>
      <c r="R373" s="1096"/>
      <c r="S373" s="1096"/>
      <c r="T373" s="1096"/>
      <c r="U373" s="1096"/>
      <c r="V373" s="1096"/>
      <c r="W373" s="126"/>
      <c r="X373" s="1096"/>
      <c r="Y373" s="1096"/>
      <c r="Z373" s="1086"/>
      <c r="AA373" s="1086"/>
      <c r="AB373" s="1086"/>
      <c r="AC373" s="1086"/>
      <c r="AD373" s="1086"/>
      <c r="AE373" s="1086"/>
      <c r="AF373" s="1086"/>
      <c r="AG373" s="1086"/>
      <c r="AH373" s="1086"/>
      <c r="AI373" s="1086"/>
      <c r="AJ373" s="1086"/>
      <c r="AK373" s="1086"/>
      <c r="AL373" s="1086"/>
      <c r="AM373" s="1086"/>
      <c r="AN373" s="1086"/>
      <c r="AO373" s="1086"/>
      <c r="AP373" s="1086"/>
      <c r="AQ373" s="1086"/>
      <c r="AR373" s="1086"/>
    </row>
    <row r="374" spans="1:44" s="116" customFormat="1" ht="34.15" hidden="1" customHeight="1" x14ac:dyDescent="0.2">
      <c r="A374" s="888">
        <f t="shared" si="9"/>
        <v>139</v>
      </c>
      <c r="B374" s="878" t="s">
        <v>756</v>
      </c>
      <c r="C374" s="919" t="s">
        <v>757</v>
      </c>
      <c r="D374" s="1130">
        <v>0.437</v>
      </c>
      <c r="E374" s="2513"/>
      <c r="F374" s="1130">
        <v>0.437</v>
      </c>
      <c r="G374" s="2514"/>
      <c r="H374" s="125"/>
      <c r="I374" s="1096"/>
      <c r="J374" s="1096"/>
      <c r="K374" s="1096"/>
      <c r="L374" s="1096"/>
      <c r="M374" s="1096"/>
      <c r="N374" s="1096"/>
      <c r="O374" s="1096"/>
      <c r="P374" s="1096"/>
      <c r="Q374" s="1096"/>
      <c r="R374" s="1096"/>
      <c r="S374" s="1096"/>
      <c r="T374" s="1096"/>
      <c r="U374" s="1096"/>
      <c r="V374" s="1096"/>
      <c r="W374" s="126"/>
      <c r="X374" s="1096"/>
      <c r="Y374" s="1096"/>
      <c r="Z374" s="1086"/>
      <c r="AA374" s="1086"/>
      <c r="AB374" s="1086"/>
      <c r="AC374" s="1086"/>
      <c r="AD374" s="1086"/>
      <c r="AE374" s="1086"/>
      <c r="AF374" s="1086"/>
      <c r="AG374" s="1086"/>
      <c r="AH374" s="1086"/>
      <c r="AI374" s="1086"/>
      <c r="AJ374" s="1086"/>
      <c r="AK374" s="1086"/>
      <c r="AL374" s="1086"/>
      <c r="AM374" s="1086"/>
      <c r="AN374" s="1086"/>
      <c r="AO374" s="1086"/>
      <c r="AP374" s="1086"/>
      <c r="AQ374" s="1086"/>
      <c r="AR374" s="1086"/>
    </row>
    <row r="375" spans="1:44" s="116" customFormat="1" ht="34.15" hidden="1" customHeight="1" x14ac:dyDescent="0.2">
      <c r="A375" s="888">
        <f t="shared" si="9"/>
        <v>140</v>
      </c>
      <c r="B375" s="878" t="s">
        <v>758</v>
      </c>
      <c r="C375" s="919" t="s">
        <v>759</v>
      </c>
      <c r="D375" s="1130">
        <v>0.5</v>
      </c>
      <c r="E375" s="2513"/>
      <c r="F375" s="1130">
        <v>0.5</v>
      </c>
      <c r="G375" s="2514"/>
      <c r="H375" s="125"/>
      <c r="I375" s="1096"/>
      <c r="J375" s="1096"/>
      <c r="K375" s="1096"/>
      <c r="L375" s="1096"/>
      <c r="M375" s="1096"/>
      <c r="N375" s="1096"/>
      <c r="O375" s="1096"/>
      <c r="P375" s="1096"/>
      <c r="Q375" s="1096"/>
      <c r="R375" s="1096"/>
      <c r="S375" s="1096"/>
      <c r="T375" s="1096"/>
      <c r="U375" s="1096"/>
      <c r="V375" s="1096"/>
      <c r="W375" s="126"/>
      <c r="X375" s="1096"/>
      <c r="Y375" s="1096"/>
      <c r="Z375" s="1086"/>
      <c r="AA375" s="1086"/>
      <c r="AB375" s="1086"/>
      <c r="AC375" s="1086"/>
      <c r="AD375" s="1086"/>
      <c r="AE375" s="1086"/>
      <c r="AF375" s="1086"/>
      <c r="AG375" s="1086"/>
      <c r="AH375" s="1086"/>
      <c r="AI375" s="1086"/>
      <c r="AJ375" s="1086"/>
      <c r="AK375" s="1086"/>
      <c r="AL375" s="1086"/>
      <c r="AM375" s="1086"/>
      <c r="AN375" s="1086"/>
      <c r="AO375" s="1086"/>
      <c r="AP375" s="1086"/>
      <c r="AQ375" s="1086"/>
      <c r="AR375" s="1086"/>
    </row>
    <row r="376" spans="1:44" s="116" customFormat="1" ht="34.15" hidden="1" customHeight="1" x14ac:dyDescent="0.2">
      <c r="A376" s="888">
        <f t="shared" si="9"/>
        <v>141</v>
      </c>
      <c r="B376" s="878" t="s">
        <v>760</v>
      </c>
      <c r="C376" s="919" t="s">
        <v>761</v>
      </c>
      <c r="D376" s="1130">
        <v>1.02</v>
      </c>
      <c r="E376" s="2513"/>
      <c r="F376" s="1130">
        <v>1.02</v>
      </c>
      <c r="G376" s="2514"/>
      <c r="H376" s="125"/>
      <c r="I376" s="1096"/>
      <c r="J376" s="1096"/>
      <c r="K376" s="1096"/>
      <c r="L376" s="1096"/>
      <c r="M376" s="1096"/>
      <c r="N376" s="1096"/>
      <c r="O376" s="1096"/>
      <c r="P376" s="1096"/>
      <c r="Q376" s="1096"/>
      <c r="R376" s="1096"/>
      <c r="S376" s="1096"/>
      <c r="T376" s="1096"/>
      <c r="U376" s="1096"/>
      <c r="V376" s="1096"/>
      <c r="W376" s="126"/>
      <c r="X376" s="1096"/>
      <c r="Y376" s="1096"/>
      <c r="Z376" s="1086"/>
      <c r="AA376" s="1086"/>
      <c r="AB376" s="1086"/>
      <c r="AC376" s="1086"/>
      <c r="AD376" s="1086"/>
      <c r="AE376" s="1086"/>
      <c r="AF376" s="1086"/>
      <c r="AG376" s="1086"/>
      <c r="AH376" s="1086"/>
      <c r="AI376" s="1086"/>
      <c r="AJ376" s="1086"/>
      <c r="AK376" s="1086"/>
      <c r="AL376" s="1086"/>
      <c r="AM376" s="1086"/>
      <c r="AN376" s="1086"/>
      <c r="AO376" s="1086"/>
      <c r="AP376" s="1086"/>
      <c r="AQ376" s="1086"/>
      <c r="AR376" s="1086"/>
    </row>
    <row r="377" spans="1:44" s="116" customFormat="1" ht="34.15" hidden="1" customHeight="1" x14ac:dyDescent="0.2">
      <c r="A377" s="888">
        <f t="shared" si="9"/>
        <v>142</v>
      </c>
      <c r="B377" s="878" t="s">
        <v>762</v>
      </c>
      <c r="C377" s="919" t="s">
        <v>763</v>
      </c>
      <c r="D377" s="1130">
        <v>0.98</v>
      </c>
      <c r="E377" s="2513"/>
      <c r="F377" s="1130">
        <v>0.98</v>
      </c>
      <c r="G377" s="2514"/>
      <c r="H377" s="125"/>
      <c r="I377" s="1096"/>
      <c r="J377" s="1096"/>
      <c r="K377" s="1096"/>
      <c r="L377" s="1096"/>
      <c r="M377" s="1096"/>
      <c r="N377" s="1096"/>
      <c r="O377" s="1096"/>
      <c r="P377" s="1096"/>
      <c r="Q377" s="1096"/>
      <c r="R377" s="1096"/>
      <c r="S377" s="1096"/>
      <c r="T377" s="1096"/>
      <c r="U377" s="1096"/>
      <c r="V377" s="1096"/>
      <c r="W377" s="126"/>
      <c r="X377" s="1096"/>
      <c r="Y377" s="1096"/>
      <c r="Z377" s="1086"/>
      <c r="AA377" s="1086"/>
      <c r="AB377" s="1086"/>
      <c r="AC377" s="1086"/>
      <c r="AD377" s="1086"/>
      <c r="AE377" s="1086"/>
      <c r="AF377" s="1086"/>
      <c r="AG377" s="1086"/>
      <c r="AH377" s="1086"/>
      <c r="AI377" s="1086"/>
      <c r="AJ377" s="1086"/>
      <c r="AK377" s="1086"/>
      <c r="AL377" s="1086"/>
      <c r="AM377" s="1086"/>
      <c r="AN377" s="1086"/>
      <c r="AO377" s="1086"/>
      <c r="AP377" s="1086"/>
      <c r="AQ377" s="1086"/>
      <c r="AR377" s="1086"/>
    </row>
    <row r="378" spans="1:44" s="116" customFormat="1" ht="34.15" hidden="1" customHeight="1" x14ac:dyDescent="0.2">
      <c r="A378" s="888">
        <f t="shared" si="9"/>
        <v>143</v>
      </c>
      <c r="B378" s="878" t="s">
        <v>764</v>
      </c>
      <c r="C378" s="919" t="s">
        <v>765</v>
      </c>
      <c r="D378" s="1130">
        <v>1.1890000000000001</v>
      </c>
      <c r="E378" s="2513"/>
      <c r="F378" s="1130">
        <v>1.1890000000000001</v>
      </c>
      <c r="G378" s="2514"/>
      <c r="H378" s="125"/>
      <c r="I378" s="1096"/>
      <c r="J378" s="1096"/>
      <c r="K378" s="1096"/>
      <c r="L378" s="1096"/>
      <c r="M378" s="1096"/>
      <c r="N378" s="1096"/>
      <c r="O378" s="1096"/>
      <c r="P378" s="1096"/>
      <c r="Q378" s="1096"/>
      <c r="R378" s="1096"/>
      <c r="S378" s="1096"/>
      <c r="T378" s="1096"/>
      <c r="U378" s="1096"/>
      <c r="V378" s="1096"/>
      <c r="W378" s="126"/>
      <c r="X378" s="1096"/>
      <c r="Y378" s="1096"/>
      <c r="Z378" s="1086"/>
      <c r="AA378" s="1086"/>
      <c r="AB378" s="1086"/>
      <c r="AC378" s="1086"/>
      <c r="AD378" s="1086"/>
      <c r="AE378" s="1086"/>
      <c r="AF378" s="1086"/>
      <c r="AG378" s="1086"/>
      <c r="AH378" s="1086"/>
      <c r="AI378" s="1086"/>
      <c r="AJ378" s="1086"/>
      <c r="AK378" s="1086"/>
      <c r="AL378" s="1086"/>
      <c r="AM378" s="1086"/>
      <c r="AN378" s="1086"/>
      <c r="AO378" s="1086"/>
      <c r="AP378" s="1086"/>
      <c r="AQ378" s="1086"/>
      <c r="AR378" s="1086"/>
    </row>
    <row r="379" spans="1:44" s="116" customFormat="1" ht="34.15" hidden="1" customHeight="1" x14ac:dyDescent="0.2">
      <c r="A379" s="888">
        <f t="shared" si="9"/>
        <v>144</v>
      </c>
      <c r="B379" s="878" t="s">
        <v>766</v>
      </c>
      <c r="C379" s="919" t="s">
        <v>767</v>
      </c>
      <c r="D379" s="1130">
        <v>0.45700000000000002</v>
      </c>
      <c r="E379" s="2513"/>
      <c r="F379" s="1130">
        <v>0.45700000000000002</v>
      </c>
      <c r="G379" s="2514"/>
      <c r="H379" s="125"/>
      <c r="I379" s="1096"/>
      <c r="J379" s="1096"/>
      <c r="K379" s="1096"/>
      <c r="L379" s="1096"/>
      <c r="M379" s="1096"/>
      <c r="N379" s="1096"/>
      <c r="O379" s="1096"/>
      <c r="P379" s="1096"/>
      <c r="Q379" s="1096"/>
      <c r="R379" s="1096"/>
      <c r="S379" s="1096"/>
      <c r="T379" s="1096"/>
      <c r="U379" s="1096"/>
      <c r="V379" s="1096"/>
      <c r="W379" s="126"/>
      <c r="X379" s="1096"/>
      <c r="Y379" s="1096"/>
      <c r="Z379" s="1086"/>
      <c r="AA379" s="1086"/>
      <c r="AB379" s="1086"/>
      <c r="AC379" s="1086"/>
      <c r="AD379" s="1086"/>
      <c r="AE379" s="1086"/>
      <c r="AF379" s="1086"/>
      <c r="AG379" s="1086"/>
      <c r="AH379" s="1086"/>
      <c r="AI379" s="1086"/>
      <c r="AJ379" s="1086"/>
      <c r="AK379" s="1086"/>
      <c r="AL379" s="1086"/>
      <c r="AM379" s="1086"/>
      <c r="AN379" s="1086"/>
      <c r="AO379" s="1086"/>
      <c r="AP379" s="1086"/>
      <c r="AQ379" s="1086"/>
      <c r="AR379" s="1086"/>
    </row>
    <row r="380" spans="1:44" s="116" customFormat="1" ht="34.15" hidden="1" customHeight="1" x14ac:dyDescent="0.2">
      <c r="A380" s="888">
        <f t="shared" si="9"/>
        <v>145</v>
      </c>
      <c r="B380" s="878" t="s">
        <v>768</v>
      </c>
      <c r="C380" s="919" t="s">
        <v>769</v>
      </c>
      <c r="D380" s="1130">
        <v>1.1240000000000001</v>
      </c>
      <c r="E380" s="2513"/>
      <c r="F380" s="1130">
        <v>1.1240000000000001</v>
      </c>
      <c r="G380" s="2514"/>
      <c r="H380" s="125"/>
      <c r="I380" s="1096"/>
      <c r="J380" s="1096"/>
      <c r="K380" s="1096"/>
      <c r="L380" s="1096"/>
      <c r="M380" s="1096"/>
      <c r="N380" s="1096"/>
      <c r="O380" s="1096"/>
      <c r="P380" s="1096"/>
      <c r="Q380" s="1096"/>
      <c r="R380" s="1096"/>
      <c r="S380" s="1096"/>
      <c r="T380" s="1096"/>
      <c r="U380" s="1096"/>
      <c r="V380" s="1096"/>
      <c r="W380" s="126"/>
      <c r="X380" s="1096"/>
      <c r="Y380" s="1096"/>
      <c r="Z380" s="1086"/>
      <c r="AA380" s="1086"/>
      <c r="AB380" s="1086"/>
      <c r="AC380" s="1086"/>
      <c r="AD380" s="1086"/>
      <c r="AE380" s="1086"/>
      <c r="AF380" s="1086"/>
      <c r="AG380" s="1086"/>
      <c r="AH380" s="1086"/>
      <c r="AI380" s="1086"/>
      <c r="AJ380" s="1086"/>
      <c r="AK380" s="1086"/>
      <c r="AL380" s="1086"/>
      <c r="AM380" s="1086"/>
      <c r="AN380" s="1086"/>
      <c r="AO380" s="1086"/>
      <c r="AP380" s="1086"/>
      <c r="AQ380" s="1086"/>
      <c r="AR380" s="1086"/>
    </row>
    <row r="381" spans="1:44" s="116" customFormat="1" ht="34.15" hidden="1" customHeight="1" x14ac:dyDescent="0.2">
      <c r="A381" s="888">
        <f t="shared" si="9"/>
        <v>146</v>
      </c>
      <c r="B381" s="878" t="s">
        <v>770</v>
      </c>
      <c r="C381" s="919" t="s">
        <v>771</v>
      </c>
      <c r="D381" s="1130">
        <v>0.51500000000000001</v>
      </c>
      <c r="E381" s="2513"/>
      <c r="F381" s="1130">
        <v>0.51500000000000001</v>
      </c>
      <c r="G381" s="2514"/>
      <c r="H381" s="125"/>
      <c r="I381" s="1096"/>
      <c r="J381" s="1096"/>
      <c r="K381" s="1096"/>
      <c r="L381" s="1096"/>
      <c r="M381" s="1096"/>
      <c r="N381" s="1096"/>
      <c r="O381" s="1096"/>
      <c r="P381" s="1096"/>
      <c r="Q381" s="1096"/>
      <c r="R381" s="1096"/>
      <c r="S381" s="1096"/>
      <c r="T381" s="1096"/>
      <c r="U381" s="1096"/>
      <c r="V381" s="1096"/>
      <c r="W381" s="126"/>
      <c r="X381" s="1096"/>
      <c r="Y381" s="1096"/>
      <c r="Z381" s="1086"/>
      <c r="AA381" s="1086"/>
      <c r="AB381" s="1086"/>
      <c r="AC381" s="1086"/>
      <c r="AD381" s="1086"/>
      <c r="AE381" s="1086"/>
      <c r="AF381" s="1086"/>
      <c r="AG381" s="1086"/>
      <c r="AH381" s="1086"/>
      <c r="AI381" s="1086"/>
      <c r="AJ381" s="1086"/>
      <c r="AK381" s="1086"/>
      <c r="AL381" s="1086"/>
      <c r="AM381" s="1086"/>
      <c r="AN381" s="1086"/>
      <c r="AO381" s="1086"/>
      <c r="AP381" s="1086"/>
      <c r="AQ381" s="1086"/>
      <c r="AR381" s="1086"/>
    </row>
    <row r="382" spans="1:44" s="116" customFormat="1" ht="34.15" hidden="1" customHeight="1" x14ac:dyDescent="0.2">
      <c r="A382" s="888">
        <f t="shared" si="9"/>
        <v>147</v>
      </c>
      <c r="B382" s="878" t="s">
        <v>772</v>
      </c>
      <c r="C382" s="919" t="s">
        <v>773</v>
      </c>
      <c r="D382" s="1130">
        <v>1.1000000000000001</v>
      </c>
      <c r="E382" s="2513"/>
      <c r="F382" s="1130">
        <v>1.1000000000000001</v>
      </c>
      <c r="G382" s="2514"/>
      <c r="H382" s="125"/>
      <c r="I382" s="1096"/>
      <c r="J382" s="1096"/>
      <c r="K382" s="1096"/>
      <c r="L382" s="1096"/>
      <c r="M382" s="1096"/>
      <c r="N382" s="1096"/>
      <c r="O382" s="1096"/>
      <c r="P382" s="1096"/>
      <c r="Q382" s="1096"/>
      <c r="R382" s="1096"/>
      <c r="S382" s="1096"/>
      <c r="T382" s="1096"/>
      <c r="U382" s="1096"/>
      <c r="V382" s="1096"/>
      <c r="W382" s="126"/>
      <c r="X382" s="1096"/>
      <c r="Y382" s="1096"/>
      <c r="Z382" s="1086"/>
      <c r="AA382" s="1086"/>
      <c r="AB382" s="1086"/>
      <c r="AC382" s="1086"/>
      <c r="AD382" s="1086"/>
      <c r="AE382" s="1086"/>
      <c r="AF382" s="1086"/>
      <c r="AG382" s="1086"/>
      <c r="AH382" s="1086"/>
      <c r="AI382" s="1086"/>
      <c r="AJ382" s="1086"/>
      <c r="AK382" s="1086"/>
      <c r="AL382" s="1086"/>
      <c r="AM382" s="1086"/>
      <c r="AN382" s="1086"/>
      <c r="AO382" s="1086"/>
      <c r="AP382" s="1086"/>
      <c r="AQ382" s="1086"/>
      <c r="AR382" s="1086"/>
    </row>
    <row r="383" spans="1:44" s="116" customFormat="1" ht="34.15" hidden="1" customHeight="1" x14ac:dyDescent="0.2">
      <c r="A383" s="888">
        <f t="shared" si="9"/>
        <v>148</v>
      </c>
      <c r="B383" s="878" t="s">
        <v>774</v>
      </c>
      <c r="C383" s="919" t="s">
        <v>775</v>
      </c>
      <c r="D383" s="1130">
        <v>0.48799999999999999</v>
      </c>
      <c r="E383" s="2513"/>
      <c r="F383" s="1130">
        <v>0.48799999999999999</v>
      </c>
      <c r="G383" s="2514"/>
      <c r="H383" s="125"/>
      <c r="I383" s="1096"/>
      <c r="J383" s="1096"/>
      <c r="K383" s="1096"/>
      <c r="L383" s="1096"/>
      <c r="M383" s="1096"/>
      <c r="N383" s="1096"/>
      <c r="O383" s="1096"/>
      <c r="P383" s="1096"/>
      <c r="Q383" s="1096"/>
      <c r="R383" s="1096"/>
      <c r="S383" s="1096"/>
      <c r="T383" s="1096"/>
      <c r="U383" s="1096"/>
      <c r="V383" s="1096"/>
      <c r="W383" s="126"/>
      <c r="X383" s="1096"/>
      <c r="Y383" s="1096"/>
      <c r="Z383" s="1086"/>
      <c r="AA383" s="1086"/>
      <c r="AB383" s="1086"/>
      <c r="AC383" s="1086"/>
      <c r="AD383" s="1086"/>
      <c r="AE383" s="1086"/>
      <c r="AF383" s="1086"/>
      <c r="AG383" s="1086"/>
      <c r="AH383" s="1086"/>
      <c r="AI383" s="1086"/>
      <c r="AJ383" s="1086"/>
      <c r="AK383" s="1086"/>
      <c r="AL383" s="1086"/>
      <c r="AM383" s="1086"/>
      <c r="AN383" s="1086"/>
      <c r="AO383" s="1086"/>
      <c r="AP383" s="1086"/>
      <c r="AQ383" s="1086"/>
      <c r="AR383" s="1086"/>
    </row>
    <row r="384" spans="1:44" s="116" customFormat="1" ht="34.15" hidden="1" customHeight="1" x14ac:dyDescent="0.2">
      <c r="A384" s="888">
        <f t="shared" si="9"/>
        <v>149</v>
      </c>
      <c r="B384" s="878" t="s">
        <v>776</v>
      </c>
      <c r="C384" s="919" t="s">
        <v>777</v>
      </c>
      <c r="D384" s="1130">
        <v>0.624</v>
      </c>
      <c r="E384" s="2513"/>
      <c r="F384" s="1130">
        <v>0.624</v>
      </c>
      <c r="G384" s="2514"/>
      <c r="H384" s="125"/>
      <c r="I384" s="1096"/>
      <c r="J384" s="1096"/>
      <c r="K384" s="1096"/>
      <c r="L384" s="1096"/>
      <c r="M384" s="1096"/>
      <c r="N384" s="1096"/>
      <c r="O384" s="1096"/>
      <c r="P384" s="1096"/>
      <c r="Q384" s="1096"/>
      <c r="R384" s="1096"/>
      <c r="S384" s="1096"/>
      <c r="T384" s="1096"/>
      <c r="U384" s="1096"/>
      <c r="V384" s="1096"/>
      <c r="W384" s="126"/>
      <c r="X384" s="1096"/>
      <c r="Y384" s="1096"/>
      <c r="Z384" s="1086"/>
      <c r="AA384" s="1086"/>
      <c r="AB384" s="1086"/>
      <c r="AC384" s="1086"/>
      <c r="AD384" s="1086"/>
      <c r="AE384" s="1086"/>
      <c r="AF384" s="1086"/>
      <c r="AG384" s="1086"/>
      <c r="AH384" s="1086"/>
      <c r="AI384" s="1086"/>
      <c r="AJ384" s="1086"/>
      <c r="AK384" s="1086"/>
      <c r="AL384" s="1086"/>
      <c r="AM384" s="1086"/>
      <c r="AN384" s="1086"/>
      <c r="AO384" s="1086"/>
      <c r="AP384" s="1086"/>
      <c r="AQ384" s="1086"/>
      <c r="AR384" s="1086"/>
    </row>
    <row r="385" spans="1:44" s="116" customFormat="1" ht="34.15" hidden="1" customHeight="1" x14ac:dyDescent="0.2">
      <c r="A385" s="888">
        <f t="shared" si="9"/>
        <v>150</v>
      </c>
      <c r="B385" s="878" t="s">
        <v>778</v>
      </c>
      <c r="C385" s="919" t="s">
        <v>779</v>
      </c>
      <c r="D385" s="1130">
        <v>0.64700000000000002</v>
      </c>
      <c r="E385" s="2513"/>
      <c r="F385" s="1130">
        <v>0.64700000000000002</v>
      </c>
      <c r="G385" s="2514"/>
      <c r="H385" s="125"/>
      <c r="I385" s="1096"/>
      <c r="J385" s="1096"/>
      <c r="K385" s="1096"/>
      <c r="L385" s="1096"/>
      <c r="M385" s="1096"/>
      <c r="N385" s="1096"/>
      <c r="O385" s="1096"/>
      <c r="P385" s="1096"/>
      <c r="Q385" s="1096"/>
      <c r="R385" s="1096"/>
      <c r="S385" s="1096"/>
      <c r="T385" s="1096"/>
      <c r="U385" s="1096"/>
      <c r="V385" s="1096"/>
      <c r="W385" s="126"/>
      <c r="X385" s="1096"/>
      <c r="Y385" s="1096"/>
      <c r="Z385" s="1086"/>
      <c r="AA385" s="1086"/>
      <c r="AB385" s="1086"/>
      <c r="AC385" s="1086"/>
      <c r="AD385" s="1086"/>
      <c r="AE385" s="1086"/>
      <c r="AF385" s="1086"/>
      <c r="AG385" s="1086"/>
      <c r="AH385" s="1086"/>
      <c r="AI385" s="1086"/>
      <c r="AJ385" s="1086"/>
      <c r="AK385" s="1086"/>
      <c r="AL385" s="1086"/>
      <c r="AM385" s="1086"/>
      <c r="AN385" s="1086"/>
      <c r="AO385" s="1086"/>
      <c r="AP385" s="1086"/>
      <c r="AQ385" s="1086"/>
      <c r="AR385" s="1086"/>
    </row>
    <row r="386" spans="1:44" s="116" customFormat="1" ht="34.15" hidden="1" customHeight="1" x14ac:dyDescent="0.2">
      <c r="A386" s="888">
        <f t="shared" si="9"/>
        <v>151</v>
      </c>
      <c r="B386" s="878" t="s">
        <v>780</v>
      </c>
      <c r="C386" s="919" t="s">
        <v>781</v>
      </c>
      <c r="D386" s="1130">
        <v>0.4</v>
      </c>
      <c r="E386" s="2513"/>
      <c r="F386" s="1130">
        <v>0.4</v>
      </c>
      <c r="G386" s="2514"/>
      <c r="H386" s="125"/>
      <c r="I386" s="1096"/>
      <c r="J386" s="1096"/>
      <c r="K386" s="1096"/>
      <c r="L386" s="1096"/>
      <c r="M386" s="1096"/>
      <c r="N386" s="1096"/>
      <c r="O386" s="1096"/>
      <c r="P386" s="1096"/>
      <c r="Q386" s="1096"/>
      <c r="R386" s="1096"/>
      <c r="S386" s="1096"/>
      <c r="T386" s="1096"/>
      <c r="U386" s="1096"/>
      <c r="V386" s="1096"/>
      <c r="W386" s="126"/>
      <c r="X386" s="1096"/>
      <c r="Y386" s="1096"/>
      <c r="Z386" s="1086"/>
      <c r="AA386" s="1086"/>
      <c r="AB386" s="1086"/>
      <c r="AC386" s="1086"/>
      <c r="AD386" s="1086"/>
      <c r="AE386" s="1086"/>
      <c r="AF386" s="1086"/>
      <c r="AG386" s="1086"/>
      <c r="AH386" s="1086"/>
      <c r="AI386" s="1086"/>
      <c r="AJ386" s="1086"/>
      <c r="AK386" s="1086"/>
      <c r="AL386" s="1086"/>
      <c r="AM386" s="1086"/>
      <c r="AN386" s="1086"/>
      <c r="AO386" s="1086"/>
      <c r="AP386" s="1086"/>
      <c r="AQ386" s="1086"/>
      <c r="AR386" s="1086"/>
    </row>
    <row r="387" spans="1:44" s="116" customFormat="1" ht="34.15" hidden="1" customHeight="1" x14ac:dyDescent="0.2">
      <c r="A387" s="888">
        <f t="shared" si="9"/>
        <v>152</v>
      </c>
      <c r="B387" s="878" t="s">
        <v>782</v>
      </c>
      <c r="C387" s="919" t="s">
        <v>783</v>
      </c>
      <c r="D387" s="1130">
        <v>1.0449999999999999</v>
      </c>
      <c r="E387" s="2513"/>
      <c r="F387" s="1130">
        <v>1.0449999999999999</v>
      </c>
      <c r="G387" s="2514"/>
      <c r="H387" s="125"/>
      <c r="I387" s="1096"/>
      <c r="J387" s="1096"/>
      <c r="K387" s="1096"/>
      <c r="L387" s="1096"/>
      <c r="M387" s="1096"/>
      <c r="N387" s="1096"/>
      <c r="O387" s="1096"/>
      <c r="P387" s="1096"/>
      <c r="Q387" s="1096"/>
      <c r="R387" s="1096"/>
      <c r="S387" s="1096"/>
      <c r="T387" s="1096"/>
      <c r="U387" s="1096"/>
      <c r="V387" s="1096"/>
      <c r="W387" s="126"/>
      <c r="X387" s="1096"/>
      <c r="Y387" s="1096"/>
      <c r="Z387" s="1086"/>
      <c r="AA387" s="1086"/>
      <c r="AB387" s="1086"/>
      <c r="AC387" s="1086"/>
      <c r="AD387" s="1086"/>
      <c r="AE387" s="1086"/>
      <c r="AF387" s="1086"/>
      <c r="AG387" s="1086"/>
      <c r="AH387" s="1086"/>
      <c r="AI387" s="1086"/>
      <c r="AJ387" s="1086"/>
      <c r="AK387" s="1086"/>
      <c r="AL387" s="1086"/>
      <c r="AM387" s="1086"/>
      <c r="AN387" s="1086"/>
      <c r="AO387" s="1086"/>
      <c r="AP387" s="1086"/>
      <c r="AQ387" s="1086"/>
      <c r="AR387" s="1086"/>
    </row>
    <row r="388" spans="1:44" s="116" customFormat="1" ht="34.15" hidden="1" customHeight="1" x14ac:dyDescent="0.2">
      <c r="A388" s="888">
        <f t="shared" si="9"/>
        <v>153</v>
      </c>
      <c r="B388" s="878" t="s">
        <v>784</v>
      </c>
      <c r="C388" s="919" t="s">
        <v>785</v>
      </c>
      <c r="D388" s="1130">
        <v>1.1659999999999999</v>
      </c>
      <c r="E388" s="2513"/>
      <c r="F388" s="1130">
        <v>1.1659999999999999</v>
      </c>
      <c r="G388" s="2514"/>
      <c r="H388" s="125"/>
      <c r="I388" s="1096"/>
      <c r="J388" s="1096"/>
      <c r="K388" s="1096"/>
      <c r="L388" s="1096"/>
      <c r="M388" s="1096"/>
      <c r="N388" s="1096"/>
      <c r="O388" s="1096"/>
      <c r="P388" s="1096"/>
      <c r="Q388" s="1096"/>
      <c r="R388" s="1096"/>
      <c r="S388" s="1096"/>
      <c r="T388" s="1096"/>
      <c r="U388" s="1096"/>
      <c r="V388" s="1096"/>
      <c r="W388" s="126"/>
      <c r="X388" s="1096"/>
      <c r="Y388" s="1096"/>
      <c r="Z388" s="1086"/>
      <c r="AA388" s="1086"/>
      <c r="AB388" s="1086"/>
      <c r="AC388" s="1086"/>
      <c r="AD388" s="1086"/>
      <c r="AE388" s="1086"/>
      <c r="AF388" s="1086"/>
      <c r="AG388" s="1086"/>
      <c r="AH388" s="1086"/>
      <c r="AI388" s="1086"/>
      <c r="AJ388" s="1086"/>
      <c r="AK388" s="1086"/>
      <c r="AL388" s="1086"/>
      <c r="AM388" s="1086"/>
      <c r="AN388" s="1086"/>
      <c r="AO388" s="1086"/>
      <c r="AP388" s="1086"/>
      <c r="AQ388" s="1086"/>
      <c r="AR388" s="1086"/>
    </row>
    <row r="389" spans="1:44" s="116" customFormat="1" ht="34.15" hidden="1" customHeight="1" x14ac:dyDescent="0.2">
      <c r="A389" s="888">
        <f t="shared" si="9"/>
        <v>154</v>
      </c>
      <c r="B389" s="878" t="s">
        <v>786</v>
      </c>
      <c r="C389" s="919" t="s">
        <v>787</v>
      </c>
      <c r="D389" s="1130">
        <v>0.25</v>
      </c>
      <c r="E389" s="2513"/>
      <c r="F389" s="1130">
        <v>0.25</v>
      </c>
      <c r="G389" s="2514"/>
      <c r="H389" s="125"/>
      <c r="I389" s="1096"/>
      <c r="J389" s="1096"/>
      <c r="K389" s="1096"/>
      <c r="L389" s="1096"/>
      <c r="M389" s="1096"/>
      <c r="N389" s="1096"/>
      <c r="O389" s="1096"/>
      <c r="P389" s="1096"/>
      <c r="Q389" s="1096"/>
      <c r="R389" s="1096"/>
      <c r="S389" s="1096"/>
      <c r="T389" s="1096"/>
      <c r="U389" s="1096"/>
      <c r="V389" s="1096"/>
      <c r="W389" s="126"/>
      <c r="X389" s="1096"/>
      <c r="Y389" s="1096"/>
      <c r="Z389" s="1086"/>
      <c r="AA389" s="1086"/>
      <c r="AB389" s="1086"/>
      <c r="AC389" s="1086"/>
      <c r="AD389" s="1086"/>
      <c r="AE389" s="1086"/>
      <c r="AF389" s="1086"/>
      <c r="AG389" s="1086"/>
      <c r="AH389" s="1086"/>
      <c r="AI389" s="1086"/>
      <c r="AJ389" s="1086"/>
      <c r="AK389" s="1086"/>
      <c r="AL389" s="1086"/>
      <c r="AM389" s="1086"/>
      <c r="AN389" s="1086"/>
      <c r="AO389" s="1086"/>
      <c r="AP389" s="1086"/>
      <c r="AQ389" s="1086"/>
      <c r="AR389" s="1086"/>
    </row>
    <row r="390" spans="1:44" s="116" customFormat="1" ht="34.15" hidden="1" customHeight="1" x14ac:dyDescent="0.2">
      <c r="A390" s="888">
        <f t="shared" si="9"/>
        <v>155</v>
      </c>
      <c r="B390" s="878" t="s">
        <v>788</v>
      </c>
      <c r="C390" s="919" t="s">
        <v>789</v>
      </c>
      <c r="D390" s="1130">
        <v>1.18</v>
      </c>
      <c r="E390" s="2513"/>
      <c r="F390" s="1130">
        <v>1.18</v>
      </c>
      <c r="G390" s="2514"/>
      <c r="H390" s="125"/>
      <c r="I390" s="1096"/>
      <c r="J390" s="1096"/>
      <c r="K390" s="1096"/>
      <c r="L390" s="1096"/>
      <c r="M390" s="1096"/>
      <c r="N390" s="1096"/>
      <c r="O390" s="1096"/>
      <c r="P390" s="1096"/>
      <c r="Q390" s="1096"/>
      <c r="R390" s="1096"/>
      <c r="S390" s="1096"/>
      <c r="T390" s="1096"/>
      <c r="U390" s="1096"/>
      <c r="V390" s="1096"/>
      <c r="W390" s="126"/>
      <c r="X390" s="1096"/>
      <c r="Y390" s="1096"/>
      <c r="Z390" s="1086"/>
      <c r="AA390" s="1086"/>
      <c r="AB390" s="1086"/>
      <c r="AC390" s="1086"/>
      <c r="AD390" s="1086"/>
      <c r="AE390" s="1086"/>
      <c r="AF390" s="1086"/>
      <c r="AG390" s="1086"/>
      <c r="AH390" s="1086"/>
      <c r="AI390" s="1086"/>
      <c r="AJ390" s="1086"/>
      <c r="AK390" s="1086"/>
      <c r="AL390" s="1086"/>
      <c r="AM390" s="1086"/>
      <c r="AN390" s="1086"/>
      <c r="AO390" s="1086"/>
      <c r="AP390" s="1086"/>
      <c r="AQ390" s="1086"/>
      <c r="AR390" s="1086"/>
    </row>
    <row r="391" spans="1:44" s="116" customFormat="1" ht="36" hidden="1" customHeight="1" x14ac:dyDescent="0.2">
      <c r="A391" s="888">
        <f t="shared" si="9"/>
        <v>156</v>
      </c>
      <c r="B391" s="878" t="s">
        <v>790</v>
      </c>
      <c r="C391" s="919" t="s">
        <v>791</v>
      </c>
      <c r="D391" s="1130">
        <v>1.0209999999999999</v>
      </c>
      <c r="E391" s="2513"/>
      <c r="F391" s="1130">
        <v>1.0209999999999999</v>
      </c>
      <c r="G391" s="2514"/>
      <c r="H391" s="125"/>
      <c r="I391" s="1096"/>
      <c r="J391" s="1096"/>
      <c r="K391" s="1096"/>
      <c r="L391" s="1096"/>
      <c r="M391" s="1096"/>
      <c r="N391" s="1096"/>
      <c r="O391" s="1096"/>
      <c r="P391" s="1096"/>
      <c r="Q391" s="1096"/>
      <c r="R391" s="1096"/>
      <c r="S391" s="1096"/>
      <c r="T391" s="1096"/>
      <c r="U391" s="1096"/>
      <c r="V391" s="1096"/>
      <c r="W391" s="126"/>
      <c r="X391" s="1096"/>
      <c r="Y391" s="1096"/>
      <c r="Z391" s="1086"/>
      <c r="AA391" s="1086"/>
      <c r="AB391" s="1086"/>
      <c r="AC391" s="1086"/>
      <c r="AD391" s="1086"/>
      <c r="AE391" s="1086"/>
      <c r="AF391" s="1086"/>
      <c r="AG391" s="1086"/>
      <c r="AH391" s="1086"/>
      <c r="AI391" s="1086"/>
      <c r="AJ391" s="1086"/>
      <c r="AK391" s="1086"/>
      <c r="AL391" s="1086"/>
      <c r="AM391" s="1086"/>
      <c r="AN391" s="1086"/>
      <c r="AO391" s="1086"/>
      <c r="AP391" s="1086"/>
      <c r="AQ391" s="1086"/>
      <c r="AR391" s="1086"/>
    </row>
    <row r="392" spans="1:44" s="116" customFormat="1" ht="34.15" hidden="1" customHeight="1" x14ac:dyDescent="0.2">
      <c r="A392" s="888">
        <f t="shared" si="9"/>
        <v>157</v>
      </c>
      <c r="B392" s="878">
        <v>3407139</v>
      </c>
      <c r="C392" s="919" t="s">
        <v>792</v>
      </c>
      <c r="D392" s="1130">
        <v>2.9510000000000001</v>
      </c>
      <c r="E392" s="2513"/>
      <c r="F392" s="1130">
        <v>2.9510000000000001</v>
      </c>
      <c r="G392" s="2514"/>
      <c r="H392" s="125"/>
      <c r="I392" s="1096"/>
      <c r="J392" s="1096"/>
      <c r="K392" s="1096"/>
      <c r="L392" s="1096"/>
      <c r="M392" s="1096"/>
      <c r="N392" s="1096"/>
      <c r="O392" s="1096"/>
      <c r="P392" s="1096"/>
      <c r="Q392" s="1096"/>
      <c r="R392" s="1096"/>
      <c r="S392" s="1096"/>
      <c r="T392" s="1096"/>
      <c r="U392" s="1096"/>
      <c r="V392" s="1096"/>
      <c r="W392" s="126"/>
      <c r="X392" s="1096"/>
      <c r="Y392" s="1096"/>
      <c r="Z392" s="1086"/>
      <c r="AA392" s="1086"/>
      <c r="AB392" s="1086"/>
      <c r="AC392" s="1086"/>
      <c r="AD392" s="1086"/>
      <c r="AE392" s="1086"/>
      <c r="AF392" s="1086"/>
      <c r="AG392" s="1086"/>
      <c r="AH392" s="1086"/>
      <c r="AI392" s="1086"/>
      <c r="AJ392" s="1086"/>
      <c r="AK392" s="1086"/>
      <c r="AL392" s="1086"/>
      <c r="AM392" s="1086"/>
      <c r="AN392" s="1086"/>
      <c r="AO392" s="1086"/>
      <c r="AP392" s="1086"/>
      <c r="AQ392" s="1086"/>
      <c r="AR392" s="1086"/>
    </row>
    <row r="393" spans="1:44" s="116" customFormat="1" ht="34.15" hidden="1" customHeight="1" x14ac:dyDescent="0.2">
      <c r="A393" s="888">
        <f t="shared" si="9"/>
        <v>158</v>
      </c>
      <c r="B393" s="878" t="s">
        <v>793</v>
      </c>
      <c r="C393" s="919" t="s">
        <v>794</v>
      </c>
      <c r="D393" s="1130">
        <v>0.29899999999999999</v>
      </c>
      <c r="E393" s="2513"/>
      <c r="F393" s="1130">
        <v>0.29899999999999999</v>
      </c>
      <c r="G393" s="2514"/>
      <c r="H393" s="125"/>
      <c r="I393" s="1096"/>
      <c r="J393" s="1096"/>
      <c r="K393" s="1096"/>
      <c r="L393" s="1096"/>
      <c r="M393" s="1096"/>
      <c r="N393" s="1096"/>
      <c r="O393" s="1096"/>
      <c r="P393" s="1096"/>
      <c r="Q393" s="1096"/>
      <c r="R393" s="1096"/>
      <c r="S393" s="1096"/>
      <c r="T393" s="1096"/>
      <c r="U393" s="1096"/>
      <c r="V393" s="1096"/>
      <c r="W393" s="126"/>
      <c r="X393" s="1096"/>
      <c r="Y393" s="1096"/>
      <c r="Z393" s="1086"/>
      <c r="AA393" s="1086"/>
      <c r="AB393" s="1086"/>
      <c r="AC393" s="1086"/>
      <c r="AD393" s="1086"/>
      <c r="AE393" s="1086"/>
      <c r="AF393" s="1086"/>
      <c r="AG393" s="1086"/>
      <c r="AH393" s="1086"/>
      <c r="AI393" s="1086"/>
      <c r="AJ393" s="1086"/>
      <c r="AK393" s="1086"/>
      <c r="AL393" s="1086"/>
      <c r="AM393" s="1086"/>
      <c r="AN393" s="1086"/>
      <c r="AO393" s="1086"/>
      <c r="AP393" s="1086"/>
      <c r="AQ393" s="1086"/>
      <c r="AR393" s="1086"/>
    </row>
    <row r="394" spans="1:44" s="116" customFormat="1" ht="27" customHeight="1" x14ac:dyDescent="0.2">
      <c r="A394" s="1225">
        <v>55</v>
      </c>
      <c r="B394" s="1300" t="s">
        <v>795</v>
      </c>
      <c r="C394" s="1300" t="s">
        <v>796</v>
      </c>
      <c r="D394" s="2289">
        <v>0.28599999999999998</v>
      </c>
      <c r="E394" s="2301">
        <v>2439</v>
      </c>
      <c r="F394" s="2289">
        <v>0.28599999999999998</v>
      </c>
      <c r="G394" s="2301">
        <v>2439</v>
      </c>
      <c r="H394" s="125"/>
      <c r="I394" s="1096"/>
      <c r="J394" s="1096"/>
      <c r="K394" s="1096"/>
      <c r="L394" s="1096"/>
      <c r="M394" s="1096"/>
      <c r="N394" s="1096"/>
      <c r="O394" s="1096"/>
      <c r="P394" s="1096"/>
      <c r="Q394" s="1096"/>
      <c r="R394" s="1096"/>
      <c r="S394" s="1096"/>
      <c r="T394" s="1215" t="s">
        <v>1483</v>
      </c>
      <c r="U394" s="1215" t="s">
        <v>1484</v>
      </c>
      <c r="V394" s="1284" t="s">
        <v>5</v>
      </c>
      <c r="W394" s="489">
        <v>0.26379999999999998</v>
      </c>
      <c r="X394" s="906" t="s">
        <v>2</v>
      </c>
      <c r="Y394" s="1380">
        <f>4971.36824</f>
        <v>4971.3682399999998</v>
      </c>
      <c r="Z394" s="1086"/>
      <c r="AA394" s="1086"/>
      <c r="AB394" s="1086"/>
      <c r="AC394" s="1086"/>
      <c r="AD394" s="1086"/>
      <c r="AE394" s="1086"/>
      <c r="AF394" s="1086"/>
      <c r="AG394" s="1086"/>
      <c r="AH394" s="1086"/>
      <c r="AI394" s="1086"/>
      <c r="AJ394" s="1086"/>
      <c r="AK394" s="1086"/>
      <c r="AL394" s="1086"/>
      <c r="AM394" s="1086"/>
      <c r="AN394" s="1086"/>
      <c r="AO394" s="1086"/>
      <c r="AP394" s="1086"/>
      <c r="AQ394" s="1086"/>
      <c r="AR394" s="1086"/>
    </row>
    <row r="395" spans="1:44" s="116" customFormat="1" ht="23.25" customHeight="1" x14ac:dyDescent="0.2">
      <c r="A395" s="1342"/>
      <c r="B395" s="1212"/>
      <c r="C395" s="1212"/>
      <c r="D395" s="2515"/>
      <c r="E395" s="2302"/>
      <c r="F395" s="2515"/>
      <c r="G395" s="2302"/>
      <c r="H395" s="125"/>
      <c r="I395" s="1096"/>
      <c r="J395" s="1096"/>
      <c r="K395" s="1096"/>
      <c r="L395" s="1096"/>
      <c r="M395" s="1096"/>
      <c r="N395" s="1096"/>
      <c r="O395" s="1096"/>
      <c r="P395" s="1096"/>
      <c r="Q395" s="1096"/>
      <c r="R395" s="1096"/>
      <c r="S395" s="1096"/>
      <c r="T395" s="1215"/>
      <c r="U395" s="1215"/>
      <c r="V395" s="1284"/>
      <c r="W395" s="901">
        <v>2066.9</v>
      </c>
      <c r="X395" s="906" t="s">
        <v>3</v>
      </c>
      <c r="Y395" s="1335"/>
      <c r="Z395" s="1086"/>
      <c r="AA395" s="1086"/>
      <c r="AB395" s="1086"/>
      <c r="AC395" s="1086"/>
      <c r="AD395" s="1086"/>
      <c r="AE395" s="1086"/>
      <c r="AF395" s="1086"/>
      <c r="AG395" s="1086"/>
      <c r="AH395" s="1086"/>
      <c r="AI395" s="1086"/>
      <c r="AJ395" s="1086"/>
      <c r="AK395" s="1086"/>
      <c r="AL395" s="1086"/>
      <c r="AM395" s="1086"/>
      <c r="AN395" s="1086"/>
      <c r="AO395" s="1086"/>
      <c r="AP395" s="1086"/>
      <c r="AQ395" s="1086"/>
      <c r="AR395" s="1086"/>
    </row>
    <row r="396" spans="1:44" s="116" customFormat="1" ht="34.15" hidden="1" customHeight="1" x14ac:dyDescent="0.2">
      <c r="A396" s="950">
        <f>A394+1</f>
        <v>56</v>
      </c>
      <c r="B396" s="878" t="s">
        <v>797</v>
      </c>
      <c r="C396" s="919" t="s">
        <v>798</v>
      </c>
      <c r="D396" s="1130">
        <v>0.77</v>
      </c>
      <c r="E396" s="2513"/>
      <c r="F396" s="1130">
        <v>0.77</v>
      </c>
      <c r="G396" s="2514"/>
      <c r="H396" s="125"/>
      <c r="I396" s="1096"/>
      <c r="J396" s="1096"/>
      <c r="K396" s="1096"/>
      <c r="L396" s="1096"/>
      <c r="M396" s="1096"/>
      <c r="N396" s="1096"/>
      <c r="O396" s="1096"/>
      <c r="P396" s="1096"/>
      <c r="Q396" s="1096"/>
      <c r="R396" s="1096"/>
      <c r="S396" s="1096"/>
      <c r="T396" s="1096"/>
      <c r="U396" s="1096"/>
      <c r="V396" s="1096"/>
      <c r="W396" s="126"/>
      <c r="X396" s="1096"/>
      <c r="Y396" s="1096"/>
      <c r="Z396" s="1086"/>
      <c r="AA396" s="1086"/>
      <c r="AB396" s="1086"/>
      <c r="AC396" s="1086"/>
      <c r="AD396" s="1086"/>
      <c r="AE396" s="1086"/>
      <c r="AF396" s="1086"/>
      <c r="AG396" s="1086"/>
      <c r="AH396" s="1086"/>
      <c r="AI396" s="1086"/>
      <c r="AJ396" s="1086"/>
      <c r="AK396" s="1086"/>
      <c r="AL396" s="1086"/>
      <c r="AM396" s="1086"/>
      <c r="AN396" s="1086"/>
      <c r="AO396" s="1086"/>
      <c r="AP396" s="1086"/>
      <c r="AQ396" s="1086"/>
      <c r="AR396" s="1086"/>
    </row>
    <row r="397" spans="1:44" s="116" customFormat="1" ht="34.15" hidden="1" customHeight="1" x14ac:dyDescent="0.2">
      <c r="A397" s="950">
        <f t="shared" si="9"/>
        <v>57</v>
      </c>
      <c r="B397" s="878" t="s">
        <v>799</v>
      </c>
      <c r="C397" s="919" t="s">
        <v>800</v>
      </c>
      <c r="D397" s="1130">
        <v>1.1000000000000001</v>
      </c>
      <c r="E397" s="2513"/>
      <c r="F397" s="1130">
        <v>1.1000000000000001</v>
      </c>
      <c r="G397" s="2514"/>
      <c r="H397" s="125"/>
      <c r="I397" s="1096"/>
      <c r="J397" s="1096"/>
      <c r="K397" s="1096"/>
      <c r="L397" s="1096"/>
      <c r="M397" s="1096"/>
      <c r="N397" s="1096"/>
      <c r="O397" s="1096"/>
      <c r="P397" s="1096"/>
      <c r="Q397" s="1096"/>
      <c r="R397" s="1096"/>
      <c r="S397" s="1096"/>
      <c r="T397" s="1096"/>
      <c r="U397" s="1096"/>
      <c r="V397" s="1096"/>
      <c r="W397" s="126"/>
      <c r="X397" s="1096"/>
      <c r="Y397" s="1096"/>
      <c r="Z397" s="1086"/>
      <c r="AA397" s="1086"/>
      <c r="AB397" s="1086"/>
      <c r="AC397" s="1086"/>
      <c r="AD397" s="1086"/>
      <c r="AE397" s="1086"/>
      <c r="AF397" s="1086"/>
      <c r="AG397" s="1086"/>
      <c r="AH397" s="1086"/>
      <c r="AI397" s="1086"/>
      <c r="AJ397" s="1086"/>
      <c r="AK397" s="1086"/>
      <c r="AL397" s="1086"/>
      <c r="AM397" s="1086"/>
      <c r="AN397" s="1086"/>
      <c r="AO397" s="1086"/>
      <c r="AP397" s="1086"/>
      <c r="AQ397" s="1086"/>
      <c r="AR397" s="1086"/>
    </row>
    <row r="398" spans="1:44" s="116" customFormat="1" ht="34.15" hidden="1" customHeight="1" x14ac:dyDescent="0.2">
      <c r="A398" s="950">
        <f t="shared" si="9"/>
        <v>58</v>
      </c>
      <c r="B398" s="878" t="s">
        <v>801</v>
      </c>
      <c r="C398" s="919" t="s">
        <v>802</v>
      </c>
      <c r="D398" s="1130">
        <v>2.8279999999999998</v>
      </c>
      <c r="E398" s="2513"/>
      <c r="F398" s="1130">
        <v>2.8279999999999998</v>
      </c>
      <c r="G398" s="2514"/>
      <c r="H398" s="125"/>
      <c r="I398" s="1096"/>
      <c r="J398" s="1096"/>
      <c r="K398" s="1096"/>
      <c r="L398" s="1096"/>
      <c r="M398" s="1096"/>
      <c r="N398" s="1096"/>
      <c r="O398" s="1096"/>
      <c r="P398" s="1096"/>
      <c r="Q398" s="1096"/>
      <c r="R398" s="1096"/>
      <c r="S398" s="1096"/>
      <c r="T398" s="1096"/>
      <c r="U398" s="1096"/>
      <c r="V398" s="1096"/>
      <c r="W398" s="126"/>
      <c r="X398" s="1096"/>
      <c r="Y398" s="1096"/>
      <c r="Z398" s="1086"/>
      <c r="AA398" s="1086"/>
      <c r="AB398" s="1086"/>
      <c r="AC398" s="1086"/>
      <c r="AD398" s="1086"/>
      <c r="AE398" s="1086"/>
      <c r="AF398" s="1086"/>
      <c r="AG398" s="1086"/>
      <c r="AH398" s="1086"/>
      <c r="AI398" s="1086"/>
      <c r="AJ398" s="1086"/>
      <c r="AK398" s="1086"/>
      <c r="AL398" s="1086"/>
      <c r="AM398" s="1086"/>
      <c r="AN398" s="1086"/>
      <c r="AO398" s="1086"/>
      <c r="AP398" s="1086"/>
      <c r="AQ398" s="1086"/>
      <c r="AR398" s="1086"/>
    </row>
    <row r="399" spans="1:44" s="116" customFormat="1" ht="34.15" hidden="1" customHeight="1" x14ac:dyDescent="0.2">
      <c r="A399" s="950">
        <f t="shared" si="9"/>
        <v>59</v>
      </c>
      <c r="B399" s="878" t="s">
        <v>803</v>
      </c>
      <c r="C399" s="919" t="s">
        <v>804</v>
      </c>
      <c r="D399" s="1130">
        <v>0.64400000000000002</v>
      </c>
      <c r="E399" s="2513"/>
      <c r="F399" s="1130">
        <v>0.64400000000000002</v>
      </c>
      <c r="G399" s="2514"/>
      <c r="H399" s="125"/>
      <c r="I399" s="1096"/>
      <c r="J399" s="1096"/>
      <c r="K399" s="1096"/>
      <c r="L399" s="1096"/>
      <c r="M399" s="1096"/>
      <c r="N399" s="1096"/>
      <c r="O399" s="1096"/>
      <c r="P399" s="1096"/>
      <c r="Q399" s="1096"/>
      <c r="R399" s="1096"/>
      <c r="S399" s="1096"/>
      <c r="T399" s="1096"/>
      <c r="U399" s="1096"/>
      <c r="V399" s="1096"/>
      <c r="W399" s="126"/>
      <c r="X399" s="1096"/>
      <c r="Y399" s="1096"/>
      <c r="Z399" s="1086"/>
      <c r="AA399" s="1086"/>
      <c r="AB399" s="1086"/>
      <c r="AC399" s="1086"/>
      <c r="AD399" s="1086"/>
      <c r="AE399" s="1086"/>
      <c r="AF399" s="1086"/>
      <c r="AG399" s="1086"/>
      <c r="AH399" s="1086"/>
      <c r="AI399" s="1086"/>
      <c r="AJ399" s="1086"/>
      <c r="AK399" s="1086"/>
      <c r="AL399" s="1086"/>
      <c r="AM399" s="1086"/>
      <c r="AN399" s="1086"/>
      <c r="AO399" s="1086"/>
      <c r="AP399" s="1086"/>
      <c r="AQ399" s="1086"/>
      <c r="AR399" s="1086"/>
    </row>
    <row r="400" spans="1:44" s="116" customFormat="1" ht="34.15" hidden="1" customHeight="1" x14ac:dyDescent="0.2">
      <c r="A400" s="950">
        <f t="shared" si="9"/>
        <v>60</v>
      </c>
      <c r="B400" s="878" t="s">
        <v>805</v>
      </c>
      <c r="C400" s="919" t="s">
        <v>806</v>
      </c>
      <c r="D400" s="1130">
        <v>1.45</v>
      </c>
      <c r="E400" s="2513"/>
      <c r="F400" s="1130">
        <v>1.45</v>
      </c>
      <c r="G400" s="2514"/>
      <c r="H400" s="125"/>
      <c r="I400" s="1096"/>
      <c r="J400" s="1096"/>
      <c r="K400" s="1096"/>
      <c r="L400" s="1096"/>
      <c r="M400" s="1096"/>
      <c r="N400" s="1096"/>
      <c r="O400" s="1096"/>
      <c r="P400" s="1096"/>
      <c r="Q400" s="1096"/>
      <c r="R400" s="1096"/>
      <c r="S400" s="1096"/>
      <c r="T400" s="1096"/>
      <c r="U400" s="1096"/>
      <c r="V400" s="1096"/>
      <c r="W400" s="126"/>
      <c r="X400" s="1096"/>
      <c r="Y400" s="1096"/>
      <c r="Z400" s="1086"/>
      <c r="AA400" s="1086"/>
      <c r="AB400" s="1086"/>
      <c r="AC400" s="1086"/>
      <c r="AD400" s="1086"/>
      <c r="AE400" s="1086"/>
      <c r="AF400" s="1086"/>
      <c r="AG400" s="1086"/>
      <c r="AH400" s="1086"/>
      <c r="AI400" s="1086"/>
      <c r="AJ400" s="1086"/>
      <c r="AK400" s="1086"/>
      <c r="AL400" s="1086"/>
      <c r="AM400" s="1086"/>
      <c r="AN400" s="1086"/>
      <c r="AO400" s="1086"/>
      <c r="AP400" s="1086"/>
      <c r="AQ400" s="1086"/>
      <c r="AR400" s="1086"/>
    </row>
    <row r="401" spans="1:44" s="116" customFormat="1" ht="57.2" hidden="1" customHeight="1" x14ac:dyDescent="0.2">
      <c r="A401" s="950">
        <f t="shared" si="9"/>
        <v>61</v>
      </c>
      <c r="B401" s="878">
        <v>3407142</v>
      </c>
      <c r="C401" s="919" t="s">
        <v>807</v>
      </c>
      <c r="D401" s="1130">
        <v>1.5329999999999999</v>
      </c>
      <c r="E401" s="2513"/>
      <c r="F401" s="1130">
        <v>1.5329999999999999</v>
      </c>
      <c r="G401" s="2514"/>
      <c r="H401" s="125"/>
      <c r="I401" s="1096"/>
      <c r="J401" s="1096"/>
      <c r="K401" s="1096"/>
      <c r="L401" s="1096"/>
      <c r="M401" s="1096"/>
      <c r="N401" s="1096"/>
      <c r="O401" s="1096"/>
      <c r="P401" s="1096"/>
      <c r="Q401" s="1096"/>
      <c r="R401" s="1096"/>
      <c r="S401" s="1096"/>
      <c r="T401" s="1096"/>
      <c r="U401" s="1096"/>
      <c r="V401" s="1096"/>
      <c r="W401" s="126"/>
      <c r="X401" s="1096"/>
      <c r="Y401" s="1096"/>
      <c r="Z401" s="1086"/>
      <c r="AA401" s="1086"/>
      <c r="AB401" s="1086"/>
      <c r="AC401" s="1086"/>
      <c r="AD401" s="1086"/>
      <c r="AE401" s="1086"/>
      <c r="AF401" s="1086"/>
      <c r="AG401" s="1086"/>
      <c r="AH401" s="1086"/>
      <c r="AI401" s="1086"/>
      <c r="AJ401" s="1086"/>
      <c r="AK401" s="1086"/>
      <c r="AL401" s="1086"/>
      <c r="AM401" s="1086"/>
      <c r="AN401" s="1086"/>
      <c r="AO401" s="1086"/>
      <c r="AP401" s="1086"/>
      <c r="AQ401" s="1086"/>
      <c r="AR401" s="1086"/>
    </row>
    <row r="402" spans="1:44" s="116" customFormat="1" ht="34.15" hidden="1" customHeight="1" x14ac:dyDescent="0.2">
      <c r="A402" s="950">
        <f t="shared" si="9"/>
        <v>62</v>
      </c>
      <c r="B402" s="878" t="s">
        <v>808</v>
      </c>
      <c r="C402" s="919" t="s">
        <v>809</v>
      </c>
      <c r="D402" s="1130">
        <v>1.2350000000000001</v>
      </c>
      <c r="E402" s="2513"/>
      <c r="F402" s="1130">
        <v>1.2350000000000001</v>
      </c>
      <c r="G402" s="2514"/>
      <c r="H402" s="125"/>
      <c r="I402" s="1096"/>
      <c r="J402" s="1096"/>
      <c r="K402" s="1096"/>
      <c r="L402" s="1096"/>
      <c r="M402" s="1096"/>
      <c r="N402" s="1096"/>
      <c r="O402" s="1096"/>
      <c r="P402" s="1096"/>
      <c r="Q402" s="1096"/>
      <c r="R402" s="1096"/>
      <c r="S402" s="1096"/>
      <c r="T402" s="1096"/>
      <c r="U402" s="1096"/>
      <c r="V402" s="1096"/>
      <c r="W402" s="126"/>
      <c r="X402" s="1096"/>
      <c r="Y402" s="1096"/>
      <c r="Z402" s="1086"/>
      <c r="AA402" s="1086"/>
      <c r="AB402" s="1086"/>
      <c r="AC402" s="1086"/>
      <c r="AD402" s="1086"/>
      <c r="AE402" s="1086"/>
      <c r="AF402" s="1086"/>
      <c r="AG402" s="1086"/>
      <c r="AH402" s="1086"/>
      <c r="AI402" s="1086"/>
      <c r="AJ402" s="1086"/>
      <c r="AK402" s="1086"/>
      <c r="AL402" s="1086"/>
      <c r="AM402" s="1086"/>
      <c r="AN402" s="1086"/>
      <c r="AO402" s="1086"/>
      <c r="AP402" s="1086"/>
      <c r="AQ402" s="1086"/>
      <c r="AR402" s="1086"/>
    </row>
    <row r="403" spans="1:44" s="116" customFormat="1" ht="34.15" hidden="1" customHeight="1" x14ac:dyDescent="0.2">
      <c r="A403" s="950">
        <f t="shared" si="9"/>
        <v>63</v>
      </c>
      <c r="B403" s="878" t="s">
        <v>810</v>
      </c>
      <c r="C403" s="919" t="s">
        <v>811</v>
      </c>
      <c r="D403" s="1130">
        <v>1.258</v>
      </c>
      <c r="E403" s="2513"/>
      <c r="F403" s="1130">
        <v>1.258</v>
      </c>
      <c r="G403" s="2514"/>
      <c r="H403" s="125"/>
      <c r="I403" s="1096"/>
      <c r="J403" s="1096"/>
      <c r="K403" s="1096"/>
      <c r="L403" s="1096"/>
      <c r="M403" s="1096"/>
      <c r="N403" s="1096"/>
      <c r="O403" s="1096"/>
      <c r="P403" s="1096"/>
      <c r="Q403" s="1096"/>
      <c r="R403" s="1096"/>
      <c r="S403" s="1096"/>
      <c r="T403" s="1096"/>
      <c r="U403" s="1096"/>
      <c r="V403" s="1096"/>
      <c r="W403" s="126"/>
      <c r="X403" s="1096"/>
      <c r="Y403" s="1096"/>
      <c r="Z403" s="1086"/>
      <c r="AA403" s="1086"/>
      <c r="AB403" s="1086"/>
      <c r="AC403" s="1086"/>
      <c r="AD403" s="1086"/>
      <c r="AE403" s="1086"/>
      <c r="AF403" s="1086"/>
      <c r="AG403" s="1086"/>
      <c r="AH403" s="1086"/>
      <c r="AI403" s="1086"/>
      <c r="AJ403" s="1086"/>
      <c r="AK403" s="1086"/>
      <c r="AL403" s="1086"/>
      <c r="AM403" s="1086"/>
      <c r="AN403" s="1086"/>
      <c r="AO403" s="1086"/>
      <c r="AP403" s="1086"/>
      <c r="AQ403" s="1086"/>
      <c r="AR403" s="1086"/>
    </row>
    <row r="404" spans="1:44" s="116" customFormat="1" ht="34.15" hidden="1" customHeight="1" x14ac:dyDescent="0.2">
      <c r="A404" s="950">
        <f t="shared" si="9"/>
        <v>64</v>
      </c>
      <c r="B404" s="878" t="s">
        <v>812</v>
      </c>
      <c r="C404" s="919" t="s">
        <v>813</v>
      </c>
      <c r="D404" s="1130">
        <v>0.72499999999999998</v>
      </c>
      <c r="E404" s="2513"/>
      <c r="F404" s="1130">
        <v>0.72499999999999998</v>
      </c>
      <c r="G404" s="2514"/>
      <c r="H404" s="125"/>
      <c r="I404" s="1096"/>
      <c r="J404" s="1096"/>
      <c r="K404" s="1096"/>
      <c r="L404" s="1096"/>
      <c r="M404" s="1096"/>
      <c r="N404" s="1096"/>
      <c r="O404" s="1096"/>
      <c r="P404" s="1096"/>
      <c r="Q404" s="1096"/>
      <c r="R404" s="1096"/>
      <c r="S404" s="1096"/>
      <c r="T404" s="1096"/>
      <c r="U404" s="1096"/>
      <c r="V404" s="1096"/>
      <c r="W404" s="126"/>
      <c r="X404" s="1096"/>
      <c r="Y404" s="1096"/>
      <c r="Z404" s="1086"/>
      <c r="AA404" s="1086"/>
      <c r="AB404" s="1086"/>
      <c r="AC404" s="1086"/>
      <c r="AD404" s="1086"/>
      <c r="AE404" s="1086"/>
      <c r="AF404" s="1086"/>
      <c r="AG404" s="1086"/>
      <c r="AH404" s="1086"/>
      <c r="AI404" s="1086"/>
      <c r="AJ404" s="1086"/>
      <c r="AK404" s="1086"/>
      <c r="AL404" s="1086"/>
      <c r="AM404" s="1086"/>
      <c r="AN404" s="1086"/>
      <c r="AO404" s="1086"/>
      <c r="AP404" s="1086"/>
      <c r="AQ404" s="1086"/>
      <c r="AR404" s="1086"/>
    </row>
    <row r="405" spans="1:44" s="116" customFormat="1" ht="34.15" hidden="1" customHeight="1" x14ac:dyDescent="0.2">
      <c r="A405" s="950">
        <f t="shared" si="9"/>
        <v>65</v>
      </c>
      <c r="B405" s="878" t="s">
        <v>814</v>
      </c>
      <c r="C405" s="919" t="s">
        <v>815</v>
      </c>
      <c r="D405" s="1130">
        <v>0.745</v>
      </c>
      <c r="E405" s="2513"/>
      <c r="F405" s="1130">
        <v>0.745</v>
      </c>
      <c r="G405" s="2514"/>
      <c r="H405" s="125"/>
      <c r="I405" s="1096"/>
      <c r="J405" s="1096"/>
      <c r="K405" s="1096"/>
      <c r="L405" s="1096"/>
      <c r="M405" s="1096"/>
      <c r="N405" s="1096"/>
      <c r="O405" s="1096"/>
      <c r="P405" s="1096"/>
      <c r="Q405" s="1096"/>
      <c r="R405" s="1096"/>
      <c r="S405" s="1096"/>
      <c r="T405" s="1096"/>
      <c r="U405" s="1096"/>
      <c r="V405" s="1096"/>
      <c r="W405" s="126"/>
      <c r="X405" s="1096"/>
      <c r="Y405" s="1096"/>
      <c r="Z405" s="1086"/>
      <c r="AA405" s="1086"/>
      <c r="AB405" s="1086"/>
      <c r="AC405" s="1086"/>
      <c r="AD405" s="1086"/>
      <c r="AE405" s="1086"/>
      <c r="AF405" s="1086"/>
      <c r="AG405" s="1086"/>
      <c r="AH405" s="1086"/>
      <c r="AI405" s="1086"/>
      <c r="AJ405" s="1086"/>
      <c r="AK405" s="1086"/>
      <c r="AL405" s="1086"/>
      <c r="AM405" s="1086"/>
      <c r="AN405" s="1086"/>
      <c r="AO405" s="1086"/>
      <c r="AP405" s="1086"/>
      <c r="AQ405" s="1086"/>
      <c r="AR405" s="1086"/>
    </row>
    <row r="406" spans="1:44" s="116" customFormat="1" ht="34.15" hidden="1" customHeight="1" x14ac:dyDescent="0.2">
      <c r="A406" s="950">
        <f t="shared" si="9"/>
        <v>66</v>
      </c>
      <c r="B406" s="878" t="s">
        <v>816</v>
      </c>
      <c r="C406" s="919" t="s">
        <v>817</v>
      </c>
      <c r="D406" s="1130">
        <v>0.54300000000000004</v>
      </c>
      <c r="E406" s="2513"/>
      <c r="F406" s="1130">
        <v>0.54300000000000004</v>
      </c>
      <c r="G406" s="2514"/>
      <c r="H406" s="125"/>
      <c r="I406" s="1096"/>
      <c r="J406" s="1096"/>
      <c r="K406" s="1096"/>
      <c r="L406" s="1096"/>
      <c r="M406" s="1096"/>
      <c r="N406" s="1096"/>
      <c r="O406" s="1096"/>
      <c r="P406" s="1096"/>
      <c r="Q406" s="1096"/>
      <c r="R406" s="1096"/>
      <c r="S406" s="1096"/>
      <c r="T406" s="1096"/>
      <c r="U406" s="1096"/>
      <c r="V406" s="1096"/>
      <c r="W406" s="126"/>
      <c r="X406" s="1096"/>
      <c r="Y406" s="1096"/>
      <c r="Z406" s="1086"/>
      <c r="AA406" s="1086"/>
      <c r="AB406" s="1086"/>
      <c r="AC406" s="1086"/>
      <c r="AD406" s="1086"/>
      <c r="AE406" s="1086"/>
      <c r="AF406" s="1086"/>
      <c r="AG406" s="1086"/>
      <c r="AH406" s="1086"/>
      <c r="AI406" s="1086"/>
      <c r="AJ406" s="1086"/>
      <c r="AK406" s="1086"/>
      <c r="AL406" s="1086"/>
      <c r="AM406" s="1086"/>
      <c r="AN406" s="1086"/>
      <c r="AO406" s="1086"/>
      <c r="AP406" s="1086"/>
      <c r="AQ406" s="1086"/>
      <c r="AR406" s="1086"/>
    </row>
    <row r="407" spans="1:44" s="116" customFormat="1" ht="34.15" hidden="1" customHeight="1" x14ac:dyDescent="0.2">
      <c r="A407" s="950">
        <f t="shared" si="9"/>
        <v>67</v>
      </c>
      <c r="B407" s="878" t="s">
        <v>818</v>
      </c>
      <c r="C407" s="919" t="s">
        <v>819</v>
      </c>
      <c r="D407" s="1130">
        <v>0.32600000000000001</v>
      </c>
      <c r="E407" s="2513"/>
      <c r="F407" s="1130">
        <v>0.32600000000000001</v>
      </c>
      <c r="G407" s="2514"/>
      <c r="H407" s="125"/>
      <c r="I407" s="1096"/>
      <c r="J407" s="1096"/>
      <c r="K407" s="1096"/>
      <c r="L407" s="1096"/>
      <c r="M407" s="1096"/>
      <c r="N407" s="1096"/>
      <c r="O407" s="1096"/>
      <c r="P407" s="1096"/>
      <c r="Q407" s="1096"/>
      <c r="R407" s="1096"/>
      <c r="S407" s="1096"/>
      <c r="T407" s="1096"/>
      <c r="U407" s="1096"/>
      <c r="V407" s="1096"/>
      <c r="W407" s="126"/>
      <c r="X407" s="1096"/>
      <c r="Y407" s="1096"/>
      <c r="Z407" s="1086"/>
      <c r="AA407" s="1086"/>
      <c r="AB407" s="1086"/>
      <c r="AC407" s="1086"/>
      <c r="AD407" s="1086"/>
      <c r="AE407" s="1086"/>
      <c r="AF407" s="1086"/>
      <c r="AG407" s="1086"/>
      <c r="AH407" s="1086"/>
      <c r="AI407" s="1086"/>
      <c r="AJ407" s="1086"/>
      <c r="AK407" s="1086"/>
      <c r="AL407" s="1086"/>
      <c r="AM407" s="1086"/>
      <c r="AN407" s="1086"/>
      <c r="AO407" s="1086"/>
      <c r="AP407" s="1086"/>
      <c r="AQ407" s="1086"/>
      <c r="AR407" s="1086"/>
    </row>
    <row r="408" spans="1:44" s="116" customFormat="1" ht="34.15" hidden="1" customHeight="1" x14ac:dyDescent="0.2">
      <c r="A408" s="950">
        <f t="shared" si="9"/>
        <v>68</v>
      </c>
      <c r="B408" s="878" t="s">
        <v>820</v>
      </c>
      <c r="C408" s="919" t="s">
        <v>821</v>
      </c>
      <c r="D408" s="1130">
        <v>0.28999999999999998</v>
      </c>
      <c r="E408" s="2513"/>
      <c r="F408" s="1130">
        <v>0.28999999999999998</v>
      </c>
      <c r="G408" s="2514"/>
      <c r="H408" s="125"/>
      <c r="I408" s="1096"/>
      <c r="J408" s="1096"/>
      <c r="K408" s="1096"/>
      <c r="L408" s="1096"/>
      <c r="M408" s="1096"/>
      <c r="N408" s="1096"/>
      <c r="O408" s="1096"/>
      <c r="P408" s="1096"/>
      <c r="Q408" s="1096"/>
      <c r="R408" s="1096"/>
      <c r="S408" s="1096"/>
      <c r="T408" s="1096"/>
      <c r="U408" s="1096"/>
      <c r="V408" s="1096"/>
      <c r="W408" s="126"/>
      <c r="X408" s="1096"/>
      <c r="Y408" s="1096"/>
      <c r="Z408" s="1086"/>
      <c r="AA408" s="1086"/>
      <c r="AB408" s="1086"/>
      <c r="AC408" s="1086"/>
      <c r="AD408" s="1086"/>
      <c r="AE408" s="1086"/>
      <c r="AF408" s="1086"/>
      <c r="AG408" s="1086"/>
      <c r="AH408" s="1086"/>
      <c r="AI408" s="1086"/>
      <c r="AJ408" s="1086"/>
      <c r="AK408" s="1086"/>
      <c r="AL408" s="1086"/>
      <c r="AM408" s="1086"/>
      <c r="AN408" s="1086"/>
      <c r="AO408" s="1086"/>
      <c r="AP408" s="1086"/>
      <c r="AQ408" s="1086"/>
      <c r="AR408" s="1086"/>
    </row>
    <row r="409" spans="1:44" s="116" customFormat="1" ht="34.15" hidden="1" customHeight="1" x14ac:dyDescent="0.2">
      <c r="A409" s="950">
        <f t="shared" si="9"/>
        <v>69</v>
      </c>
      <c r="B409" s="878" t="s">
        <v>822</v>
      </c>
      <c r="C409" s="919" t="s">
        <v>823</v>
      </c>
      <c r="D409" s="1130">
        <v>0.60299999999999998</v>
      </c>
      <c r="E409" s="2513"/>
      <c r="F409" s="1130">
        <v>0.60299999999999998</v>
      </c>
      <c r="G409" s="2514"/>
      <c r="H409" s="125"/>
      <c r="I409" s="1096"/>
      <c r="J409" s="1096"/>
      <c r="K409" s="1096"/>
      <c r="L409" s="1096"/>
      <c r="M409" s="1096"/>
      <c r="N409" s="1096"/>
      <c r="O409" s="1096"/>
      <c r="P409" s="1096"/>
      <c r="Q409" s="1096"/>
      <c r="R409" s="1096"/>
      <c r="S409" s="1096"/>
      <c r="T409" s="1096"/>
      <c r="U409" s="1096"/>
      <c r="V409" s="1096"/>
      <c r="W409" s="126"/>
      <c r="X409" s="1096"/>
      <c r="Y409" s="1096"/>
      <c r="Z409" s="1086"/>
      <c r="AA409" s="1086"/>
      <c r="AB409" s="1086"/>
      <c r="AC409" s="1086"/>
      <c r="AD409" s="1086"/>
      <c r="AE409" s="1086"/>
      <c r="AF409" s="1086"/>
      <c r="AG409" s="1086"/>
      <c r="AH409" s="1086"/>
      <c r="AI409" s="1086"/>
      <c r="AJ409" s="1086"/>
      <c r="AK409" s="1086"/>
      <c r="AL409" s="1086"/>
      <c r="AM409" s="1086"/>
      <c r="AN409" s="1086"/>
      <c r="AO409" s="1086"/>
      <c r="AP409" s="1086"/>
      <c r="AQ409" s="1086"/>
      <c r="AR409" s="1086"/>
    </row>
    <row r="410" spans="1:44" s="116" customFormat="1" ht="34.15" hidden="1" customHeight="1" x14ac:dyDescent="0.2">
      <c r="A410" s="950">
        <f t="shared" ref="A410:A424" si="10">A409+1</f>
        <v>70</v>
      </c>
      <c r="B410" s="878" t="s">
        <v>824</v>
      </c>
      <c r="C410" s="919" t="s">
        <v>825</v>
      </c>
      <c r="D410" s="1130">
        <v>0.64700000000000002</v>
      </c>
      <c r="E410" s="2513"/>
      <c r="F410" s="1130">
        <v>0.64700000000000002</v>
      </c>
      <c r="G410" s="2514"/>
      <c r="H410" s="125"/>
      <c r="I410" s="1096"/>
      <c r="J410" s="1096"/>
      <c r="K410" s="1096"/>
      <c r="L410" s="1096"/>
      <c r="M410" s="1096"/>
      <c r="N410" s="1096"/>
      <c r="O410" s="1096"/>
      <c r="P410" s="1096"/>
      <c r="Q410" s="1096"/>
      <c r="R410" s="1096"/>
      <c r="S410" s="1096"/>
      <c r="T410" s="1096"/>
      <c r="U410" s="1096"/>
      <c r="V410" s="1096"/>
      <c r="W410" s="126"/>
      <c r="X410" s="1096"/>
      <c r="Y410" s="1096"/>
      <c r="Z410" s="1086"/>
      <c r="AA410" s="1086"/>
      <c r="AB410" s="1086"/>
      <c r="AC410" s="1086"/>
      <c r="AD410" s="1086"/>
      <c r="AE410" s="1086"/>
      <c r="AF410" s="1086"/>
      <c r="AG410" s="1086"/>
      <c r="AH410" s="1086"/>
      <c r="AI410" s="1086"/>
      <c r="AJ410" s="1086"/>
      <c r="AK410" s="1086"/>
      <c r="AL410" s="1086"/>
      <c r="AM410" s="1086"/>
      <c r="AN410" s="1086"/>
      <c r="AO410" s="1086"/>
      <c r="AP410" s="1086"/>
      <c r="AQ410" s="1086"/>
      <c r="AR410" s="1086"/>
    </row>
    <row r="411" spans="1:44" s="116" customFormat="1" ht="34.15" hidden="1" customHeight="1" x14ac:dyDescent="0.2">
      <c r="A411" s="950">
        <f t="shared" si="10"/>
        <v>71</v>
      </c>
      <c r="B411" s="878" t="s">
        <v>826</v>
      </c>
      <c r="C411" s="919" t="s">
        <v>827</v>
      </c>
      <c r="D411" s="1130">
        <v>0.82399999999999995</v>
      </c>
      <c r="E411" s="2513"/>
      <c r="F411" s="1130">
        <v>0.82399999999999995</v>
      </c>
      <c r="G411" s="2514"/>
      <c r="H411" s="125"/>
      <c r="I411" s="1096"/>
      <c r="J411" s="1096"/>
      <c r="K411" s="1096"/>
      <c r="L411" s="1096"/>
      <c r="M411" s="1096"/>
      <c r="N411" s="1096"/>
      <c r="O411" s="1096"/>
      <c r="P411" s="1096"/>
      <c r="Q411" s="1096"/>
      <c r="R411" s="1096"/>
      <c r="S411" s="1096"/>
      <c r="T411" s="1096"/>
      <c r="U411" s="1096"/>
      <c r="V411" s="1096"/>
      <c r="W411" s="126"/>
      <c r="X411" s="1096"/>
      <c r="Y411" s="1096"/>
      <c r="Z411" s="1086"/>
      <c r="AA411" s="1086"/>
      <c r="AB411" s="1086"/>
      <c r="AC411" s="1086"/>
      <c r="AD411" s="1086"/>
      <c r="AE411" s="1086"/>
      <c r="AF411" s="1086"/>
      <c r="AG411" s="1086"/>
      <c r="AH411" s="1086"/>
      <c r="AI411" s="1086"/>
      <c r="AJ411" s="1086"/>
      <c r="AK411" s="1086"/>
      <c r="AL411" s="1086"/>
      <c r="AM411" s="1086"/>
      <c r="AN411" s="1086"/>
      <c r="AO411" s="1086"/>
      <c r="AP411" s="1086"/>
      <c r="AQ411" s="1086"/>
      <c r="AR411" s="1086"/>
    </row>
    <row r="412" spans="1:44" s="116" customFormat="1" ht="87.4" hidden="1" customHeight="1" x14ac:dyDescent="0.2">
      <c r="A412" s="950">
        <f t="shared" si="10"/>
        <v>72</v>
      </c>
      <c r="B412" s="878">
        <v>3405513</v>
      </c>
      <c r="C412" s="919" t="s">
        <v>828</v>
      </c>
      <c r="D412" s="1130">
        <v>5.415</v>
      </c>
      <c r="E412" s="2513"/>
      <c r="F412" s="1130">
        <v>5.415</v>
      </c>
      <c r="G412" s="2514"/>
      <c r="H412" s="125"/>
      <c r="I412" s="1096"/>
      <c r="J412" s="1096"/>
      <c r="K412" s="1096"/>
      <c r="L412" s="1096"/>
      <c r="M412" s="1096"/>
      <c r="N412" s="1096"/>
      <c r="O412" s="1096"/>
      <c r="P412" s="1096"/>
      <c r="Q412" s="1096"/>
      <c r="R412" s="1096"/>
      <c r="S412" s="1096"/>
      <c r="T412" s="1096"/>
      <c r="U412" s="1096"/>
      <c r="V412" s="1096"/>
      <c r="W412" s="126"/>
      <c r="X412" s="1096"/>
      <c r="Y412" s="1096"/>
      <c r="Z412" s="1086"/>
      <c r="AA412" s="1086"/>
      <c r="AB412" s="1086"/>
      <c r="AC412" s="1086"/>
      <c r="AD412" s="1086"/>
      <c r="AE412" s="1086"/>
      <c r="AF412" s="1086"/>
      <c r="AG412" s="1086"/>
      <c r="AH412" s="1086"/>
      <c r="AI412" s="1086"/>
      <c r="AJ412" s="1086"/>
      <c r="AK412" s="1086"/>
      <c r="AL412" s="1086"/>
      <c r="AM412" s="1086"/>
      <c r="AN412" s="1086"/>
      <c r="AO412" s="1086"/>
      <c r="AP412" s="1086"/>
      <c r="AQ412" s="1086"/>
      <c r="AR412" s="1086"/>
    </row>
    <row r="413" spans="1:44" s="116" customFormat="1" ht="69.400000000000006" hidden="1" customHeight="1" x14ac:dyDescent="0.2">
      <c r="A413" s="950">
        <f t="shared" si="10"/>
        <v>73</v>
      </c>
      <c r="B413" s="878">
        <v>3413612</v>
      </c>
      <c r="C413" s="919" t="s">
        <v>829</v>
      </c>
      <c r="D413" s="1130">
        <v>1.024</v>
      </c>
      <c r="E413" s="2513"/>
      <c r="F413" s="1130">
        <v>1.024</v>
      </c>
      <c r="G413" s="2514"/>
      <c r="H413" s="125"/>
      <c r="I413" s="1096"/>
      <c r="J413" s="1096"/>
      <c r="K413" s="1096"/>
      <c r="L413" s="1096"/>
      <c r="M413" s="1096"/>
      <c r="N413" s="1096"/>
      <c r="O413" s="1096"/>
      <c r="P413" s="1096"/>
      <c r="Q413" s="1096"/>
      <c r="R413" s="1096"/>
      <c r="S413" s="1096"/>
      <c r="T413" s="1096"/>
      <c r="U413" s="1096"/>
      <c r="V413" s="1096"/>
      <c r="W413" s="126"/>
      <c r="X413" s="1096"/>
      <c r="Y413" s="1096"/>
      <c r="Z413" s="1086"/>
      <c r="AA413" s="1086"/>
      <c r="AB413" s="1086"/>
      <c r="AC413" s="1086"/>
      <c r="AD413" s="1086"/>
      <c r="AE413" s="1086"/>
      <c r="AF413" s="1086"/>
      <c r="AG413" s="1086"/>
      <c r="AH413" s="1086"/>
      <c r="AI413" s="1086"/>
      <c r="AJ413" s="1086"/>
      <c r="AK413" s="1086"/>
      <c r="AL413" s="1086"/>
      <c r="AM413" s="1086"/>
      <c r="AN413" s="1086"/>
      <c r="AO413" s="1086"/>
      <c r="AP413" s="1086"/>
      <c r="AQ413" s="1086"/>
      <c r="AR413" s="1086"/>
    </row>
    <row r="414" spans="1:44" s="116" customFormat="1" ht="34.15" hidden="1" customHeight="1" x14ac:dyDescent="0.2">
      <c r="A414" s="950">
        <f t="shared" si="10"/>
        <v>74</v>
      </c>
      <c r="B414" s="878" t="s">
        <v>830</v>
      </c>
      <c r="C414" s="919" t="s">
        <v>831</v>
      </c>
      <c r="D414" s="1130">
        <v>2.1</v>
      </c>
      <c r="E414" s="2513"/>
      <c r="F414" s="1130">
        <v>2.1</v>
      </c>
      <c r="G414" s="2514"/>
      <c r="H414" s="125"/>
      <c r="I414" s="1096"/>
      <c r="J414" s="1096"/>
      <c r="K414" s="1096"/>
      <c r="L414" s="1096"/>
      <c r="M414" s="1096"/>
      <c r="N414" s="1096"/>
      <c r="O414" s="1096"/>
      <c r="P414" s="1096"/>
      <c r="Q414" s="1096"/>
      <c r="R414" s="1096"/>
      <c r="S414" s="1096"/>
      <c r="T414" s="1096"/>
      <c r="U414" s="1096"/>
      <c r="V414" s="1096"/>
      <c r="W414" s="126"/>
      <c r="X414" s="1096"/>
      <c r="Y414" s="1096"/>
      <c r="Z414" s="1086"/>
      <c r="AA414" s="1086"/>
      <c r="AB414" s="1086"/>
      <c r="AC414" s="1086"/>
      <c r="AD414" s="1086"/>
      <c r="AE414" s="1086"/>
      <c r="AF414" s="1086"/>
      <c r="AG414" s="1086"/>
      <c r="AH414" s="1086"/>
      <c r="AI414" s="1086"/>
      <c r="AJ414" s="1086"/>
      <c r="AK414" s="1086"/>
      <c r="AL414" s="1086"/>
      <c r="AM414" s="1086"/>
      <c r="AN414" s="1086"/>
      <c r="AO414" s="1086"/>
      <c r="AP414" s="1086"/>
      <c r="AQ414" s="1086"/>
      <c r="AR414" s="1086"/>
    </row>
    <row r="415" spans="1:44" s="116" customFormat="1" ht="34.15" hidden="1" customHeight="1" x14ac:dyDescent="0.2">
      <c r="A415" s="950">
        <f t="shared" si="10"/>
        <v>75</v>
      </c>
      <c r="B415" s="878" t="s">
        <v>832</v>
      </c>
      <c r="C415" s="919" t="s">
        <v>833</v>
      </c>
      <c r="D415" s="1130">
        <v>1.78</v>
      </c>
      <c r="E415" s="2513"/>
      <c r="F415" s="1130">
        <v>1.78</v>
      </c>
      <c r="G415" s="2514"/>
      <c r="H415" s="125"/>
      <c r="I415" s="1096"/>
      <c r="J415" s="1096"/>
      <c r="K415" s="1096"/>
      <c r="L415" s="1096"/>
      <c r="M415" s="1096"/>
      <c r="N415" s="1096"/>
      <c r="O415" s="1096"/>
      <c r="P415" s="1096"/>
      <c r="Q415" s="1096"/>
      <c r="R415" s="1096"/>
      <c r="S415" s="1096"/>
      <c r="T415" s="1096"/>
      <c r="U415" s="1096"/>
      <c r="V415" s="1096"/>
      <c r="W415" s="126"/>
      <c r="X415" s="1096"/>
      <c r="Y415" s="1096"/>
      <c r="Z415" s="1086"/>
      <c r="AA415" s="1086"/>
      <c r="AB415" s="1086"/>
      <c r="AC415" s="1086"/>
      <c r="AD415" s="1086"/>
      <c r="AE415" s="1086"/>
      <c r="AF415" s="1086"/>
      <c r="AG415" s="1086"/>
      <c r="AH415" s="1086"/>
      <c r="AI415" s="1086"/>
      <c r="AJ415" s="1086"/>
      <c r="AK415" s="1086"/>
      <c r="AL415" s="1086"/>
      <c r="AM415" s="1086"/>
      <c r="AN415" s="1086"/>
      <c r="AO415" s="1086"/>
      <c r="AP415" s="1086"/>
      <c r="AQ415" s="1086"/>
      <c r="AR415" s="1086"/>
    </row>
    <row r="416" spans="1:44" s="116" customFormat="1" ht="34.15" hidden="1" customHeight="1" x14ac:dyDescent="0.2">
      <c r="A416" s="950">
        <f t="shared" si="10"/>
        <v>76</v>
      </c>
      <c r="B416" s="878" t="s">
        <v>834</v>
      </c>
      <c r="C416" s="919" t="s">
        <v>835</v>
      </c>
      <c r="D416" s="1130">
        <v>0.78200000000000003</v>
      </c>
      <c r="E416" s="2513"/>
      <c r="F416" s="1130">
        <v>0.78200000000000003</v>
      </c>
      <c r="G416" s="2514"/>
      <c r="H416" s="125"/>
      <c r="I416" s="1096"/>
      <c r="J416" s="1096"/>
      <c r="K416" s="1096"/>
      <c r="L416" s="1096"/>
      <c r="M416" s="1096"/>
      <c r="N416" s="1096"/>
      <c r="O416" s="1096"/>
      <c r="P416" s="1096"/>
      <c r="Q416" s="1096"/>
      <c r="R416" s="1096"/>
      <c r="S416" s="1096"/>
      <c r="T416" s="1096"/>
      <c r="U416" s="1096"/>
      <c r="V416" s="1096"/>
      <c r="W416" s="126"/>
      <c r="X416" s="1096"/>
      <c r="Y416" s="1096"/>
      <c r="Z416" s="1086"/>
      <c r="AA416" s="1086"/>
      <c r="AB416" s="1086"/>
      <c r="AC416" s="1086"/>
      <c r="AD416" s="1086"/>
      <c r="AE416" s="1086"/>
      <c r="AF416" s="1086"/>
      <c r="AG416" s="1086"/>
      <c r="AH416" s="1086"/>
      <c r="AI416" s="1086"/>
      <c r="AJ416" s="1086"/>
      <c r="AK416" s="1086"/>
      <c r="AL416" s="1086"/>
      <c r="AM416" s="1086"/>
      <c r="AN416" s="1086"/>
      <c r="AO416" s="1086"/>
      <c r="AP416" s="1086"/>
      <c r="AQ416" s="1086"/>
      <c r="AR416" s="1086"/>
    </row>
    <row r="417" spans="1:44" s="116" customFormat="1" ht="34.15" hidden="1" customHeight="1" x14ac:dyDescent="0.2">
      <c r="A417" s="950">
        <f t="shared" si="10"/>
        <v>77</v>
      </c>
      <c r="B417" s="878" t="s">
        <v>836</v>
      </c>
      <c r="C417" s="919" t="s">
        <v>837</v>
      </c>
      <c r="D417" s="1130">
        <v>0.44500000000000001</v>
      </c>
      <c r="E417" s="2513"/>
      <c r="F417" s="1130">
        <v>0.44500000000000001</v>
      </c>
      <c r="G417" s="2514"/>
      <c r="H417" s="125"/>
      <c r="I417" s="1096"/>
      <c r="J417" s="1096"/>
      <c r="K417" s="1096"/>
      <c r="L417" s="1096"/>
      <c r="M417" s="1096"/>
      <c r="N417" s="1096"/>
      <c r="O417" s="1096"/>
      <c r="P417" s="1096"/>
      <c r="Q417" s="1096"/>
      <c r="R417" s="1096"/>
      <c r="S417" s="1096"/>
      <c r="T417" s="1096"/>
      <c r="U417" s="1096"/>
      <c r="V417" s="1096"/>
      <c r="W417" s="126"/>
      <c r="X417" s="1096"/>
      <c r="Y417" s="1096"/>
      <c r="Z417" s="1086"/>
      <c r="AA417" s="1086"/>
      <c r="AB417" s="1086"/>
      <c r="AC417" s="1086"/>
      <c r="AD417" s="1086"/>
      <c r="AE417" s="1086"/>
      <c r="AF417" s="1086"/>
      <c r="AG417" s="1086"/>
      <c r="AH417" s="1086"/>
      <c r="AI417" s="1086"/>
      <c r="AJ417" s="1086"/>
      <c r="AK417" s="1086"/>
      <c r="AL417" s="1086"/>
      <c r="AM417" s="1086"/>
      <c r="AN417" s="1086"/>
      <c r="AO417" s="1086"/>
      <c r="AP417" s="1086"/>
      <c r="AQ417" s="1086"/>
      <c r="AR417" s="1086"/>
    </row>
    <row r="418" spans="1:44" s="116" customFormat="1" ht="55.35" hidden="1" customHeight="1" x14ac:dyDescent="0.2">
      <c r="A418" s="950">
        <f t="shared" si="10"/>
        <v>78</v>
      </c>
      <c r="B418" s="878">
        <v>3407143</v>
      </c>
      <c r="C418" s="919" t="s">
        <v>838</v>
      </c>
      <c r="D418" s="1130">
        <v>2.3010000000000002</v>
      </c>
      <c r="E418" s="2516"/>
      <c r="F418" s="1130">
        <v>2.3010000000000002</v>
      </c>
      <c r="G418" s="2514"/>
      <c r="H418" s="125"/>
      <c r="I418" s="1096"/>
      <c r="J418" s="1096"/>
      <c r="K418" s="1096"/>
      <c r="L418" s="1096"/>
      <c r="M418" s="1096"/>
      <c r="N418" s="1096"/>
      <c r="O418" s="1096"/>
      <c r="P418" s="1096"/>
      <c r="Q418" s="1096"/>
      <c r="R418" s="1096"/>
      <c r="S418" s="1096"/>
      <c r="T418" s="1096"/>
      <c r="U418" s="1096"/>
      <c r="V418" s="1096"/>
      <c r="W418" s="126"/>
      <c r="X418" s="1096"/>
      <c r="Y418" s="1096"/>
      <c r="Z418" s="1086"/>
      <c r="AA418" s="1086"/>
      <c r="AB418" s="1086"/>
      <c r="AC418" s="1086"/>
      <c r="AD418" s="1086"/>
      <c r="AE418" s="1086"/>
      <c r="AF418" s="1086"/>
      <c r="AG418" s="1086"/>
      <c r="AH418" s="1086"/>
      <c r="AI418" s="1086"/>
      <c r="AJ418" s="1086"/>
      <c r="AK418" s="1086"/>
      <c r="AL418" s="1086"/>
      <c r="AM418" s="1086"/>
      <c r="AN418" s="1086"/>
      <c r="AO418" s="1086"/>
      <c r="AP418" s="1086"/>
      <c r="AQ418" s="1086"/>
      <c r="AR418" s="1086"/>
    </row>
    <row r="419" spans="1:44" s="116" customFormat="1" ht="34.15" hidden="1" customHeight="1" x14ac:dyDescent="0.2">
      <c r="A419" s="950">
        <f t="shared" si="10"/>
        <v>79</v>
      </c>
      <c r="B419" s="878" t="s">
        <v>839</v>
      </c>
      <c r="C419" s="919" t="s">
        <v>840</v>
      </c>
      <c r="D419" s="1130">
        <v>1.86</v>
      </c>
      <c r="E419" s="2516"/>
      <c r="F419" s="1130">
        <v>1.86</v>
      </c>
      <c r="G419" s="2514"/>
      <c r="H419" s="125"/>
      <c r="I419" s="1096"/>
      <c r="J419" s="1096"/>
      <c r="K419" s="1096"/>
      <c r="L419" s="1096"/>
      <c r="M419" s="1096"/>
      <c r="N419" s="1096"/>
      <c r="O419" s="1096"/>
      <c r="P419" s="1096"/>
      <c r="Q419" s="1096"/>
      <c r="R419" s="1096"/>
      <c r="S419" s="1096"/>
      <c r="T419" s="1096"/>
      <c r="U419" s="1096"/>
      <c r="V419" s="1096"/>
      <c r="W419" s="126"/>
      <c r="X419" s="1096"/>
      <c r="Y419" s="1096"/>
      <c r="Z419" s="1086"/>
      <c r="AA419" s="1086"/>
      <c r="AB419" s="1086"/>
      <c r="AC419" s="1086"/>
      <c r="AD419" s="1086"/>
      <c r="AE419" s="1086"/>
      <c r="AF419" s="1086"/>
      <c r="AG419" s="1086"/>
      <c r="AH419" s="1086"/>
      <c r="AI419" s="1086"/>
      <c r="AJ419" s="1086"/>
      <c r="AK419" s="1086"/>
      <c r="AL419" s="1086"/>
      <c r="AM419" s="1086"/>
      <c r="AN419" s="1086"/>
      <c r="AO419" s="1086"/>
      <c r="AP419" s="1086"/>
      <c r="AQ419" s="1086"/>
      <c r="AR419" s="1086"/>
    </row>
    <row r="420" spans="1:44" s="116" customFormat="1" ht="34.15" hidden="1" customHeight="1" x14ac:dyDescent="0.2">
      <c r="A420" s="950">
        <f t="shared" si="10"/>
        <v>80</v>
      </c>
      <c r="B420" s="878" t="s">
        <v>841</v>
      </c>
      <c r="C420" s="919" t="s">
        <v>842</v>
      </c>
      <c r="D420" s="1130">
        <v>2.85</v>
      </c>
      <c r="E420" s="2516"/>
      <c r="F420" s="1130">
        <v>2.85</v>
      </c>
      <c r="G420" s="2514"/>
      <c r="H420" s="125"/>
      <c r="I420" s="1096"/>
      <c r="J420" s="1096"/>
      <c r="K420" s="1096"/>
      <c r="L420" s="1096"/>
      <c r="M420" s="1096"/>
      <c r="N420" s="1096"/>
      <c r="O420" s="1096"/>
      <c r="P420" s="1096"/>
      <c r="Q420" s="1096"/>
      <c r="R420" s="1096"/>
      <c r="S420" s="1096"/>
      <c r="T420" s="1096"/>
      <c r="U420" s="1096"/>
      <c r="V420" s="1096"/>
      <c r="W420" s="126"/>
      <c r="X420" s="1096"/>
      <c r="Y420" s="1096"/>
      <c r="Z420" s="1086"/>
      <c r="AA420" s="1086"/>
      <c r="AB420" s="1086"/>
      <c r="AC420" s="1086"/>
      <c r="AD420" s="1086"/>
      <c r="AE420" s="1086"/>
      <c r="AF420" s="1086"/>
      <c r="AG420" s="1086"/>
      <c r="AH420" s="1086"/>
      <c r="AI420" s="1086"/>
      <c r="AJ420" s="1086"/>
      <c r="AK420" s="1086"/>
      <c r="AL420" s="1086"/>
      <c r="AM420" s="1086"/>
      <c r="AN420" s="1086"/>
      <c r="AO420" s="1086"/>
      <c r="AP420" s="1086"/>
      <c r="AQ420" s="1086"/>
      <c r="AR420" s="1086"/>
    </row>
    <row r="421" spans="1:44" s="116" customFormat="1" ht="25.7" hidden="1" customHeight="1" x14ac:dyDescent="0.2">
      <c r="A421" s="950">
        <f t="shared" si="10"/>
        <v>81</v>
      </c>
      <c r="B421" s="878">
        <v>3405534</v>
      </c>
      <c r="C421" s="127" t="s">
        <v>843</v>
      </c>
      <c r="D421" s="128">
        <v>1.6</v>
      </c>
      <c r="E421" s="2516"/>
      <c r="F421" s="128">
        <v>1.6</v>
      </c>
      <c r="G421" s="2514"/>
      <c r="H421" s="125"/>
      <c r="I421" s="1096"/>
      <c r="J421" s="1096"/>
      <c r="K421" s="1096"/>
      <c r="L421" s="1096"/>
      <c r="M421" s="1096"/>
      <c r="N421" s="1096"/>
      <c r="O421" s="1096"/>
      <c r="P421" s="1096"/>
      <c r="Q421" s="1096"/>
      <c r="R421" s="1096"/>
      <c r="S421" s="1096"/>
      <c r="T421" s="1096"/>
      <c r="U421" s="1096"/>
      <c r="V421" s="1096"/>
      <c r="W421" s="126"/>
      <c r="X421" s="1096"/>
      <c r="Y421" s="1096"/>
      <c r="Z421" s="1086"/>
      <c r="AA421" s="1086"/>
      <c r="AB421" s="1086"/>
      <c r="AC421" s="1086"/>
      <c r="AD421" s="1086"/>
      <c r="AE421" s="1086"/>
      <c r="AF421" s="1086"/>
      <c r="AG421" s="1086"/>
      <c r="AH421" s="1086"/>
      <c r="AI421" s="1086"/>
      <c r="AJ421" s="1086"/>
      <c r="AK421" s="1086"/>
      <c r="AL421" s="1086"/>
      <c r="AM421" s="1086"/>
      <c r="AN421" s="1086"/>
      <c r="AO421" s="1086"/>
      <c r="AP421" s="1086"/>
      <c r="AQ421" s="1086"/>
      <c r="AR421" s="1086"/>
    </row>
    <row r="422" spans="1:44" s="116" customFormat="1" ht="64.349999999999994" hidden="1" customHeight="1" x14ac:dyDescent="0.25">
      <c r="A422" s="950">
        <f t="shared" si="10"/>
        <v>82</v>
      </c>
      <c r="B422" s="131">
        <v>3405530</v>
      </c>
      <c r="C422" s="129" t="s">
        <v>844</v>
      </c>
      <c r="D422" s="128">
        <v>5.5049999999999999</v>
      </c>
      <c r="E422" s="2516"/>
      <c r="F422" s="128">
        <v>5.5049999999999999</v>
      </c>
      <c r="G422" s="2514"/>
      <c r="H422" s="125"/>
      <c r="I422" s="1096"/>
      <c r="J422" s="1096"/>
      <c r="K422" s="1096"/>
      <c r="L422" s="1096"/>
      <c r="M422" s="1096"/>
      <c r="N422" s="1096"/>
      <c r="O422" s="1096"/>
      <c r="P422" s="1096"/>
      <c r="Q422" s="1096"/>
      <c r="R422" s="1096"/>
      <c r="S422" s="1096"/>
      <c r="T422" s="1096"/>
      <c r="U422" s="1096"/>
      <c r="V422" s="1096"/>
      <c r="W422" s="126"/>
      <c r="X422" s="1096"/>
      <c r="Y422" s="1096"/>
      <c r="Z422" s="1086"/>
      <c r="AA422" s="1086"/>
      <c r="AB422" s="1086"/>
      <c r="AC422" s="1086"/>
      <c r="AD422" s="1086"/>
      <c r="AE422" s="1086"/>
      <c r="AF422" s="1086"/>
      <c r="AG422" s="1086"/>
      <c r="AH422" s="1086"/>
      <c r="AI422" s="1086"/>
      <c r="AJ422" s="1086"/>
      <c r="AK422" s="1086"/>
      <c r="AL422" s="1086"/>
      <c r="AM422" s="1086"/>
      <c r="AN422" s="1086"/>
      <c r="AO422" s="1086"/>
      <c r="AP422" s="1086"/>
      <c r="AQ422" s="1086"/>
      <c r="AR422" s="1086"/>
    </row>
    <row r="423" spans="1:44" s="116" customFormat="1" ht="34.15" hidden="1" customHeight="1" x14ac:dyDescent="0.2">
      <c r="A423" s="950">
        <f t="shared" si="10"/>
        <v>83</v>
      </c>
      <c r="B423" s="131" t="s">
        <v>845</v>
      </c>
      <c r="C423" s="919" t="s">
        <v>846</v>
      </c>
      <c r="D423" s="128">
        <v>2.7530000000000001</v>
      </c>
      <c r="E423" s="2516"/>
      <c r="F423" s="128">
        <v>2.7530000000000001</v>
      </c>
      <c r="G423" s="2514"/>
      <c r="H423" s="125"/>
      <c r="I423" s="1096"/>
      <c r="J423" s="1096"/>
      <c r="K423" s="1096"/>
      <c r="L423" s="1096"/>
      <c r="M423" s="1096"/>
      <c r="N423" s="1096"/>
      <c r="O423" s="1096"/>
      <c r="P423" s="1096"/>
      <c r="Q423" s="1096"/>
      <c r="R423" s="1096"/>
      <c r="S423" s="1096"/>
      <c r="T423" s="1096"/>
      <c r="U423" s="1096"/>
      <c r="V423" s="1096"/>
      <c r="W423" s="126"/>
      <c r="X423" s="1096"/>
      <c r="Y423" s="1096"/>
      <c r="Z423" s="1086"/>
      <c r="AA423" s="1086"/>
      <c r="AB423" s="1086"/>
      <c r="AC423" s="1086"/>
      <c r="AD423" s="1086"/>
      <c r="AE423" s="1086"/>
      <c r="AF423" s="1086"/>
      <c r="AG423" s="1086"/>
      <c r="AH423" s="1086"/>
      <c r="AI423" s="1086"/>
      <c r="AJ423" s="1086"/>
      <c r="AK423" s="1086"/>
      <c r="AL423" s="1086"/>
      <c r="AM423" s="1086"/>
      <c r="AN423" s="1086"/>
      <c r="AO423" s="1086"/>
      <c r="AP423" s="1086"/>
      <c r="AQ423" s="1086"/>
      <c r="AR423" s="1086"/>
    </row>
    <row r="424" spans="1:44" s="116" customFormat="1" ht="34.15" hidden="1" customHeight="1" x14ac:dyDescent="0.25">
      <c r="A424" s="950">
        <f t="shared" si="10"/>
        <v>84</v>
      </c>
      <c r="B424" s="131">
        <v>3413611</v>
      </c>
      <c r="C424" s="129" t="s">
        <v>847</v>
      </c>
      <c r="D424" s="975">
        <v>0.997</v>
      </c>
      <c r="E424" s="2516"/>
      <c r="F424" s="975">
        <v>0.997</v>
      </c>
      <c r="G424" s="2514"/>
      <c r="H424" s="125"/>
      <c r="I424" s="1096"/>
      <c r="J424" s="1096"/>
      <c r="K424" s="1096"/>
      <c r="L424" s="1096"/>
      <c r="M424" s="1096"/>
      <c r="N424" s="1096"/>
      <c r="O424" s="1096"/>
      <c r="P424" s="1096"/>
      <c r="Q424" s="1096"/>
      <c r="R424" s="1096"/>
      <c r="S424" s="1096"/>
      <c r="T424" s="1096"/>
      <c r="U424" s="1096"/>
      <c r="V424" s="1096"/>
      <c r="W424" s="126"/>
      <c r="X424" s="1096"/>
      <c r="Y424" s="1096"/>
      <c r="Z424" s="1086"/>
      <c r="AA424" s="1086"/>
      <c r="AB424" s="1086"/>
      <c r="AC424" s="1086"/>
      <c r="AD424" s="1086"/>
      <c r="AE424" s="1086"/>
      <c r="AF424" s="1086"/>
      <c r="AG424" s="1086"/>
      <c r="AH424" s="1086"/>
      <c r="AI424" s="1086"/>
      <c r="AJ424" s="1086"/>
      <c r="AK424" s="1086"/>
      <c r="AL424" s="1086"/>
      <c r="AM424" s="1086"/>
      <c r="AN424" s="1086"/>
      <c r="AO424" s="1086"/>
      <c r="AP424" s="1086"/>
      <c r="AQ424" s="1086"/>
      <c r="AR424" s="1086"/>
    </row>
    <row r="425" spans="1:44" s="144" customFormat="1" ht="28.9" customHeight="1" x14ac:dyDescent="0.25">
      <c r="A425" s="1381">
        <v>56</v>
      </c>
      <c r="B425" s="1383">
        <v>2240159</v>
      </c>
      <c r="C425" s="2357" t="s">
        <v>1543</v>
      </c>
      <c r="D425" s="1385">
        <v>0.8</v>
      </c>
      <c r="E425" s="1387">
        <f>1932.1/0.323*D425</f>
        <v>4785.3869969040243</v>
      </c>
      <c r="F425" s="1385">
        <v>0.8</v>
      </c>
      <c r="G425" s="1387">
        <f>1932.1/0.323*F425</f>
        <v>4785.3869969040243</v>
      </c>
      <c r="H425" s="770"/>
      <c r="I425" s="770"/>
      <c r="J425" s="770"/>
      <c r="K425" s="81"/>
      <c r="L425" s="771"/>
      <c r="M425" s="772"/>
      <c r="N425" s="141"/>
      <c r="O425" s="141"/>
      <c r="P425" s="141"/>
      <c r="Q425" s="141"/>
      <c r="R425" s="141"/>
      <c r="S425" s="141"/>
      <c r="T425" s="141"/>
      <c r="U425" s="141"/>
      <c r="V425" s="141"/>
      <c r="W425" s="765"/>
      <c r="X425" s="766"/>
      <c r="Y425" s="767"/>
      <c r="Z425" s="1374" t="s">
        <v>441</v>
      </c>
      <c r="AA425" s="1279" t="s">
        <v>1544</v>
      </c>
      <c r="AB425" s="1374" t="s">
        <v>5</v>
      </c>
      <c r="AC425" s="906">
        <v>0.34399999999999997</v>
      </c>
      <c r="AD425" s="906" t="s">
        <v>2</v>
      </c>
      <c r="AE425" s="1231">
        <v>3633.5086999999999</v>
      </c>
      <c r="AF425" s="773"/>
      <c r="AG425" s="961"/>
      <c r="AH425" s="484"/>
      <c r="AI425" s="463"/>
      <c r="AJ425" s="14"/>
      <c r="AK425" s="423"/>
      <c r="AL425" s="143"/>
      <c r="AM425" s="962"/>
      <c r="AN425" s="282"/>
      <c r="AO425" s="962"/>
      <c r="AP425" s="962"/>
      <c r="AQ425" s="962"/>
      <c r="AR425" s="768"/>
    </row>
    <row r="426" spans="1:44" s="144" customFormat="1" ht="28.9" customHeight="1" x14ac:dyDescent="0.25">
      <c r="A426" s="1382"/>
      <c r="B426" s="1384"/>
      <c r="C426" s="2358"/>
      <c r="D426" s="1386"/>
      <c r="E426" s="1388"/>
      <c r="F426" s="1386"/>
      <c r="G426" s="1388"/>
      <c r="H426" s="770"/>
      <c r="I426" s="770"/>
      <c r="J426" s="770"/>
      <c r="K426" s="81"/>
      <c r="L426" s="771"/>
      <c r="M426" s="772"/>
      <c r="N426" s="141"/>
      <c r="O426" s="141"/>
      <c r="P426" s="141"/>
      <c r="Q426" s="141"/>
      <c r="R426" s="141"/>
      <c r="S426" s="141"/>
      <c r="T426" s="141"/>
      <c r="U426" s="141"/>
      <c r="V426" s="141"/>
      <c r="W426" s="765"/>
      <c r="X426" s="766"/>
      <c r="Y426" s="767"/>
      <c r="Z426" s="1375"/>
      <c r="AA426" s="1268"/>
      <c r="AB426" s="1375"/>
      <c r="AC426" s="901">
        <v>2502.1</v>
      </c>
      <c r="AD426" s="906" t="s">
        <v>3</v>
      </c>
      <c r="AE426" s="1232"/>
      <c r="AF426" s="773"/>
      <c r="AG426" s="961"/>
      <c r="AH426" s="484"/>
      <c r="AI426" s="463"/>
      <c r="AJ426" s="14"/>
      <c r="AK426" s="423"/>
      <c r="AL426" s="143"/>
      <c r="AM426" s="962"/>
      <c r="AN426" s="282"/>
      <c r="AO426" s="962"/>
      <c r="AP426" s="962"/>
      <c r="AQ426" s="962"/>
      <c r="AR426" s="768"/>
    </row>
    <row r="427" spans="1:44" s="144" customFormat="1" ht="28.9" customHeight="1" x14ac:dyDescent="0.25">
      <c r="A427" s="2327">
        <v>57</v>
      </c>
      <c r="B427" s="1592">
        <v>2243429</v>
      </c>
      <c r="C427" s="2430" t="s">
        <v>722</v>
      </c>
      <c r="D427" s="1590">
        <v>1.3</v>
      </c>
      <c r="E427" s="1591">
        <f>G427</f>
        <v>0</v>
      </c>
      <c r="F427" s="1590">
        <v>1.3</v>
      </c>
      <c r="G427" s="1591">
        <f>W428</f>
        <v>0</v>
      </c>
      <c r="H427" s="822"/>
      <c r="I427" s="822"/>
      <c r="J427" s="822"/>
      <c r="K427" s="823"/>
      <c r="L427" s="824"/>
      <c r="M427" s="825"/>
      <c r="N427" s="826"/>
      <c r="O427" s="826"/>
      <c r="P427" s="826"/>
      <c r="Q427" s="826"/>
      <c r="R427" s="826"/>
      <c r="S427" s="826"/>
      <c r="T427" s="1215" t="s">
        <v>1561</v>
      </c>
      <c r="U427" s="1215" t="s">
        <v>1561</v>
      </c>
      <c r="V427" s="1284" t="s">
        <v>5</v>
      </c>
      <c r="W427" s="489"/>
      <c r="X427" s="906" t="s">
        <v>2</v>
      </c>
      <c r="Y427" s="1380">
        <v>4978.1315999999997</v>
      </c>
      <c r="Z427" s="996"/>
      <c r="AA427" s="890"/>
      <c r="AB427" s="996"/>
      <c r="AC427" s="970"/>
      <c r="AD427" s="996"/>
      <c r="AE427" s="980"/>
      <c r="AF427" s="827"/>
      <c r="AG427" s="684"/>
      <c r="AH427" s="828"/>
      <c r="AI427" s="829"/>
      <c r="AJ427" s="830"/>
      <c r="AK427" s="831"/>
      <c r="AL427" s="856"/>
      <c r="AM427" s="830"/>
      <c r="AN427" s="857"/>
      <c r="AO427" s="830"/>
      <c r="AP427" s="830"/>
      <c r="AQ427" s="830"/>
      <c r="AR427" s="768"/>
    </row>
    <row r="428" spans="1:44" s="144" customFormat="1" ht="28.9" customHeight="1" x14ac:dyDescent="0.25">
      <c r="A428" s="1382"/>
      <c r="B428" s="1384"/>
      <c r="C428" s="2358"/>
      <c r="D428" s="1386"/>
      <c r="E428" s="1388"/>
      <c r="F428" s="1386"/>
      <c r="G428" s="1388"/>
      <c r="H428" s="822"/>
      <c r="I428" s="822"/>
      <c r="J428" s="822"/>
      <c r="K428" s="823"/>
      <c r="L428" s="824"/>
      <c r="M428" s="825"/>
      <c r="N428" s="826"/>
      <c r="O428" s="826"/>
      <c r="P428" s="826"/>
      <c r="Q428" s="826"/>
      <c r="R428" s="826"/>
      <c r="S428" s="826"/>
      <c r="T428" s="1215"/>
      <c r="U428" s="1215"/>
      <c r="V428" s="1284"/>
      <c r="W428" s="901"/>
      <c r="X428" s="906" t="s">
        <v>3</v>
      </c>
      <c r="Y428" s="1335"/>
      <c r="Z428" s="996"/>
      <c r="AA428" s="890"/>
      <c r="AB428" s="996"/>
      <c r="AC428" s="970"/>
      <c r="AD428" s="996"/>
      <c r="AE428" s="980"/>
      <c r="AF428" s="827"/>
      <c r="AG428" s="684"/>
      <c r="AH428" s="828"/>
      <c r="AI428" s="829"/>
      <c r="AJ428" s="830"/>
      <c r="AK428" s="831"/>
      <c r="AL428" s="856"/>
      <c r="AM428" s="830"/>
      <c r="AN428" s="857"/>
      <c r="AO428" s="830"/>
      <c r="AP428" s="830"/>
      <c r="AQ428" s="830"/>
      <c r="AR428" s="768"/>
    </row>
    <row r="429" spans="1:44" s="144" customFormat="1" ht="85.5" customHeight="1" x14ac:dyDescent="0.25">
      <c r="A429" s="853">
        <v>58</v>
      </c>
      <c r="B429" s="854">
        <v>2244446</v>
      </c>
      <c r="C429" s="2431" t="s">
        <v>1581</v>
      </c>
      <c r="D429" s="855">
        <v>1.5089999999999999</v>
      </c>
      <c r="E429" s="2517"/>
      <c r="F429" s="855">
        <v>1.5089999999999999</v>
      </c>
      <c r="G429" s="2517"/>
      <c r="H429" s="822"/>
      <c r="I429" s="822"/>
      <c r="J429" s="822"/>
      <c r="K429" s="823"/>
      <c r="L429" s="824"/>
      <c r="M429" s="825"/>
      <c r="N429" s="826"/>
      <c r="O429" s="826"/>
      <c r="P429" s="826"/>
      <c r="Q429" s="826"/>
      <c r="R429" s="826"/>
      <c r="S429" s="826"/>
      <c r="T429" s="2420" t="s">
        <v>1580</v>
      </c>
      <c r="U429" s="2420" t="s">
        <v>1580</v>
      </c>
      <c r="V429" s="1131" t="s">
        <v>1046</v>
      </c>
      <c r="W429" s="1131">
        <v>1</v>
      </c>
      <c r="X429" s="1131" t="s">
        <v>8</v>
      </c>
      <c r="Y429" s="2421">
        <v>1010.4</v>
      </c>
      <c r="Z429" s="840"/>
      <c r="AA429" s="1165"/>
      <c r="AB429" s="840"/>
      <c r="AC429" s="970"/>
      <c r="AD429" s="996"/>
      <c r="AE429" s="980"/>
      <c r="AF429" s="827"/>
      <c r="AG429" s="684"/>
      <c r="AH429" s="828"/>
      <c r="AI429" s="829"/>
      <c r="AJ429" s="830"/>
      <c r="AK429" s="831"/>
      <c r="AL429" s="856"/>
      <c r="AM429" s="830"/>
      <c r="AN429" s="857"/>
      <c r="AO429" s="830"/>
      <c r="AP429" s="830"/>
      <c r="AQ429" s="830"/>
      <c r="AR429" s="851"/>
    </row>
    <row r="430" spans="1:44" s="144" customFormat="1" ht="40.5" customHeight="1" x14ac:dyDescent="0.25">
      <c r="A430" s="1381">
        <v>59</v>
      </c>
      <c r="B430" s="1592"/>
      <c r="C430" s="2430" t="s">
        <v>1582</v>
      </c>
      <c r="D430" s="1590">
        <v>0.24399999999999999</v>
      </c>
      <c r="E430" s="1591">
        <f>G430</f>
        <v>4600</v>
      </c>
      <c r="F430" s="1590">
        <v>0.24399999999999999</v>
      </c>
      <c r="G430" s="1591">
        <f>AC431</f>
        <v>4600</v>
      </c>
      <c r="H430" s="852"/>
      <c r="I430" s="852"/>
      <c r="J430" s="852"/>
      <c r="K430" s="146"/>
      <c r="L430" s="147"/>
      <c r="M430" s="145"/>
      <c r="N430" s="956"/>
      <c r="O430" s="956"/>
      <c r="P430" s="956"/>
      <c r="Q430" s="956"/>
      <c r="R430" s="956"/>
      <c r="S430" s="956"/>
      <c r="T430" s="2432"/>
      <c r="U430" s="2432"/>
      <c r="V430" s="911"/>
      <c r="W430" s="911"/>
      <c r="X430" s="911"/>
      <c r="Y430" s="2433"/>
      <c r="Z430" s="1332" t="s">
        <v>441</v>
      </c>
      <c r="AA430" s="1332" t="s">
        <v>1585</v>
      </c>
      <c r="AB430" s="1374" t="s">
        <v>5</v>
      </c>
      <c r="AC430" s="906">
        <v>0.24399999999999999</v>
      </c>
      <c r="AD430" s="906" t="s">
        <v>2</v>
      </c>
      <c r="AE430" s="1380">
        <v>24696.096000000001</v>
      </c>
      <c r="AF430" s="827"/>
      <c r="AG430" s="684"/>
      <c r="AH430" s="828"/>
      <c r="AI430" s="829"/>
      <c r="AJ430" s="830"/>
      <c r="AK430" s="831"/>
      <c r="AL430" s="856"/>
      <c r="AM430" s="830"/>
      <c r="AN430" s="857"/>
      <c r="AO430" s="830"/>
      <c r="AP430" s="830"/>
      <c r="AQ430" s="830"/>
      <c r="AR430" s="851"/>
    </row>
    <row r="431" spans="1:44" s="144" customFormat="1" ht="40.5" customHeight="1" x14ac:dyDescent="0.25">
      <c r="A431" s="1382"/>
      <c r="B431" s="1384"/>
      <c r="C431" s="2358"/>
      <c r="D431" s="1386"/>
      <c r="E431" s="1388"/>
      <c r="F431" s="1386"/>
      <c r="G431" s="1388"/>
      <c r="H431" s="852"/>
      <c r="I431" s="852"/>
      <c r="J431" s="852"/>
      <c r="K431" s="146"/>
      <c r="L431" s="147"/>
      <c r="M431" s="145"/>
      <c r="N431" s="956"/>
      <c r="O431" s="956"/>
      <c r="P431" s="956"/>
      <c r="Q431" s="956"/>
      <c r="R431" s="956"/>
      <c r="S431" s="956"/>
      <c r="T431" s="2432"/>
      <c r="U431" s="2432"/>
      <c r="V431" s="911"/>
      <c r="W431" s="911"/>
      <c r="X431" s="911"/>
      <c r="Y431" s="2433"/>
      <c r="Z431" s="1235"/>
      <c r="AA431" s="1235"/>
      <c r="AB431" s="1375"/>
      <c r="AC431" s="901">
        <v>4600</v>
      </c>
      <c r="AD431" s="906" t="s">
        <v>3</v>
      </c>
      <c r="AE431" s="1335"/>
      <c r="AF431" s="827"/>
      <c r="AG431" s="684"/>
      <c r="AH431" s="828"/>
      <c r="AI431" s="829"/>
      <c r="AJ431" s="830"/>
      <c r="AK431" s="831"/>
      <c r="AL431" s="856"/>
      <c r="AM431" s="830"/>
      <c r="AN431" s="857"/>
      <c r="AO431" s="830"/>
      <c r="AP431" s="830"/>
      <c r="AQ431" s="830"/>
      <c r="AR431" s="851"/>
    </row>
    <row r="432" spans="1:44" s="144" customFormat="1" ht="40.5" customHeight="1" x14ac:dyDescent="0.25">
      <c r="A432" s="1381">
        <v>60</v>
      </c>
      <c r="B432" s="1592"/>
      <c r="C432" s="2430" t="s">
        <v>1583</v>
      </c>
      <c r="D432" s="1590">
        <v>0.70199999999999996</v>
      </c>
      <c r="E432" s="1591">
        <f>G432</f>
        <v>8850</v>
      </c>
      <c r="F432" s="1590">
        <v>0.70199999999999996</v>
      </c>
      <c r="G432" s="1591">
        <f>AC433</f>
        <v>8850</v>
      </c>
      <c r="H432" s="852"/>
      <c r="I432" s="852"/>
      <c r="J432" s="852"/>
      <c r="K432" s="146"/>
      <c r="L432" s="147"/>
      <c r="M432" s="145"/>
      <c r="N432" s="956"/>
      <c r="O432" s="956"/>
      <c r="P432" s="956"/>
      <c r="Q432" s="956"/>
      <c r="R432" s="956"/>
      <c r="S432" s="956"/>
      <c r="T432" s="2432"/>
      <c r="U432" s="2432"/>
      <c r="V432" s="911"/>
      <c r="W432" s="911"/>
      <c r="X432" s="911"/>
      <c r="Y432" s="2433"/>
      <c r="Z432" s="1332" t="s">
        <v>441</v>
      </c>
      <c r="AA432" s="1332" t="s">
        <v>1584</v>
      </c>
      <c r="AB432" s="1374" t="s">
        <v>5</v>
      </c>
      <c r="AC432" s="906">
        <v>0.70199999999999996</v>
      </c>
      <c r="AD432" s="906" t="s">
        <v>2</v>
      </c>
      <c r="AE432" s="1380">
        <v>37412.653299999998</v>
      </c>
      <c r="AF432" s="1332" t="s">
        <v>441</v>
      </c>
      <c r="AG432" s="1332" t="s">
        <v>1584</v>
      </c>
      <c r="AH432" s="1374" t="s">
        <v>5</v>
      </c>
      <c r="AI432" s="906"/>
      <c r="AJ432" s="906" t="s">
        <v>2</v>
      </c>
      <c r="AK432" s="1380">
        <v>7608.8218999999999</v>
      </c>
      <c r="AL432" s="856"/>
      <c r="AM432" s="830"/>
      <c r="AN432" s="857"/>
      <c r="AO432" s="830"/>
      <c r="AP432" s="830"/>
      <c r="AQ432" s="830"/>
      <c r="AR432" s="851"/>
    </row>
    <row r="433" spans="1:44" s="144" customFormat="1" ht="40.5" customHeight="1" x14ac:dyDescent="0.25">
      <c r="A433" s="1382"/>
      <c r="B433" s="1384"/>
      <c r="C433" s="2358"/>
      <c r="D433" s="1386"/>
      <c r="E433" s="1388"/>
      <c r="F433" s="1386"/>
      <c r="G433" s="1388"/>
      <c r="H433" s="822"/>
      <c r="I433" s="822"/>
      <c r="J433" s="822"/>
      <c r="K433" s="823"/>
      <c r="L433" s="824"/>
      <c r="M433" s="825"/>
      <c r="N433" s="826"/>
      <c r="O433" s="826"/>
      <c r="P433" s="826"/>
      <c r="Q433" s="826"/>
      <c r="R433" s="826"/>
      <c r="S433" s="826"/>
      <c r="T433" s="2420"/>
      <c r="U433" s="2420"/>
      <c r="V433" s="1131"/>
      <c r="W433" s="1131"/>
      <c r="X433" s="1131"/>
      <c r="Y433" s="2421"/>
      <c r="Z433" s="1235"/>
      <c r="AA433" s="1235"/>
      <c r="AB433" s="1375"/>
      <c r="AC433" s="901">
        <v>8850</v>
      </c>
      <c r="AD433" s="906" t="s">
        <v>3</v>
      </c>
      <c r="AE433" s="1335"/>
      <c r="AF433" s="1235"/>
      <c r="AG433" s="1235"/>
      <c r="AH433" s="1375"/>
      <c r="AI433" s="901"/>
      <c r="AJ433" s="906" t="s">
        <v>3</v>
      </c>
      <c r="AK433" s="1335"/>
      <c r="AL433" s="856"/>
      <c r="AM433" s="830"/>
      <c r="AN433" s="857"/>
      <c r="AO433" s="830"/>
      <c r="AP433" s="830"/>
      <c r="AQ433" s="830"/>
      <c r="AR433" s="851"/>
    </row>
    <row r="434" spans="1:44" s="144" customFormat="1" ht="36" customHeight="1" x14ac:dyDescent="0.25">
      <c r="A434" s="1381">
        <v>61</v>
      </c>
      <c r="B434" s="2334">
        <v>2239661</v>
      </c>
      <c r="C434" s="1372" t="s">
        <v>1490</v>
      </c>
      <c r="D434" s="1374">
        <v>1.863</v>
      </c>
      <c r="E434" s="1470">
        <v>15993</v>
      </c>
      <c r="F434" s="1374">
        <v>1.863</v>
      </c>
      <c r="G434" s="1472">
        <f>E434</f>
        <v>15993</v>
      </c>
      <c r="H434" s="906"/>
      <c r="I434" s="1120"/>
      <c r="J434" s="1120"/>
      <c r="K434" s="1120"/>
      <c r="L434" s="1120"/>
      <c r="M434" s="1120"/>
      <c r="N434" s="302"/>
      <c r="O434" s="302"/>
      <c r="P434" s="460"/>
      <c r="Q434" s="906"/>
      <c r="R434" s="1120"/>
      <c r="S434" s="492"/>
      <c r="T434" s="302"/>
      <c r="U434" s="302"/>
      <c r="V434" s="460"/>
      <c r="W434" s="906"/>
      <c r="X434" s="1120"/>
      <c r="Y434" s="298"/>
      <c r="Z434" s="143"/>
      <c r="AA434" s="962"/>
      <c r="AB434" s="282"/>
      <c r="AC434" s="962"/>
      <c r="AD434" s="962"/>
      <c r="AE434" s="962"/>
      <c r="AF434" s="1332" t="s">
        <v>441</v>
      </c>
      <c r="AG434" s="1332" t="s">
        <v>1381</v>
      </c>
      <c r="AH434" s="1374" t="s">
        <v>5</v>
      </c>
      <c r="AI434" s="906">
        <v>1.863</v>
      </c>
      <c r="AJ434" s="1120" t="s">
        <v>2</v>
      </c>
      <c r="AK434" s="1380">
        <f>55592.4532-25000</f>
        <v>30592.453200000004</v>
      </c>
      <c r="AL434" s="802"/>
      <c r="AM434" s="802"/>
      <c r="AN434" s="1185"/>
      <c r="AO434" s="840"/>
      <c r="AP434" s="1187"/>
      <c r="AQ434" s="1188"/>
      <c r="AR434" s="1233" t="s">
        <v>1233</v>
      </c>
    </row>
    <row r="435" spans="1:44" s="144" customFormat="1" ht="36" customHeight="1" x14ac:dyDescent="0.25">
      <c r="A435" s="1382"/>
      <c r="B435" s="2335"/>
      <c r="C435" s="1373"/>
      <c r="D435" s="1375"/>
      <c r="E435" s="1471"/>
      <c r="F435" s="1375"/>
      <c r="G435" s="1473"/>
      <c r="H435" s="906"/>
      <c r="I435" s="1120"/>
      <c r="J435" s="1120"/>
      <c r="K435" s="1120"/>
      <c r="L435" s="1120"/>
      <c r="M435" s="1120"/>
      <c r="N435" s="302"/>
      <c r="O435" s="302"/>
      <c r="P435" s="460"/>
      <c r="Q435" s="892"/>
      <c r="R435" s="1120"/>
      <c r="S435" s="492"/>
      <c r="T435" s="302"/>
      <c r="U435" s="302"/>
      <c r="V435" s="460"/>
      <c r="W435" s="901"/>
      <c r="X435" s="1120"/>
      <c r="Y435" s="298"/>
      <c r="Z435" s="143"/>
      <c r="AA435" s="962"/>
      <c r="AB435" s="282"/>
      <c r="AC435" s="962"/>
      <c r="AD435" s="962"/>
      <c r="AE435" s="962"/>
      <c r="AF435" s="1235"/>
      <c r="AG435" s="1235"/>
      <c r="AH435" s="1375"/>
      <c r="AI435" s="901">
        <v>15993</v>
      </c>
      <c r="AJ435" s="1120" t="s">
        <v>3</v>
      </c>
      <c r="AK435" s="1335"/>
      <c r="AL435" s="802"/>
      <c r="AM435" s="802"/>
      <c r="AN435" s="1185"/>
      <c r="AO435" s="1189"/>
      <c r="AP435" s="1187"/>
      <c r="AQ435" s="1188"/>
      <c r="AR435" s="1233"/>
    </row>
    <row r="436" spans="1:44" s="20" customFormat="1" ht="27" customHeight="1" x14ac:dyDescent="0.2">
      <c r="A436" s="1381">
        <v>62</v>
      </c>
      <c r="B436" s="1374" t="s">
        <v>373</v>
      </c>
      <c r="C436" s="1372" t="s">
        <v>230</v>
      </c>
      <c r="D436" s="1374">
        <v>3.923</v>
      </c>
      <c r="E436" s="1470">
        <v>53728</v>
      </c>
      <c r="F436" s="1374">
        <v>3.923</v>
      </c>
      <c r="G436" s="1558">
        <f>E436</f>
        <v>53728</v>
      </c>
      <c r="H436" s="906"/>
      <c r="I436" s="906"/>
      <c r="J436" s="906"/>
      <c r="K436" s="906"/>
      <c r="L436" s="906"/>
      <c r="M436" s="906"/>
      <c r="N436" s="302"/>
      <c r="O436" s="302"/>
      <c r="P436" s="460"/>
      <c r="Q436" s="906"/>
      <c r="R436" s="1120"/>
      <c r="S436" s="492"/>
      <c r="T436" s="460"/>
      <c r="U436" s="460"/>
      <c r="V436" s="34"/>
      <c r="W436" s="906"/>
      <c r="X436" s="906"/>
      <c r="Y436" s="460"/>
      <c r="Z436" s="123"/>
      <c r="AA436" s="123"/>
      <c r="AB436" s="123"/>
      <c r="AC436" s="123"/>
      <c r="AD436" s="123"/>
      <c r="AE436" s="123"/>
      <c r="AF436" s="1374" t="s">
        <v>1456</v>
      </c>
      <c r="AG436" s="1374" t="s">
        <v>1457</v>
      </c>
      <c r="AH436" s="1233" t="s">
        <v>43</v>
      </c>
      <c r="AI436" s="906">
        <v>3.923</v>
      </c>
      <c r="AJ436" s="906" t="s">
        <v>2</v>
      </c>
      <c r="AK436" s="1374">
        <f>134776.5468-67714.6639</f>
        <v>67061.882900000011</v>
      </c>
      <c r="AL436" s="802"/>
      <c r="AM436" s="1185"/>
      <c r="AN436" s="803"/>
      <c r="AO436" s="840"/>
      <c r="AP436" s="840"/>
      <c r="AQ436" s="1185"/>
      <c r="AR436" s="1233"/>
    </row>
    <row r="437" spans="1:44" s="20" customFormat="1" ht="27" customHeight="1" x14ac:dyDescent="0.2">
      <c r="A437" s="1382"/>
      <c r="B437" s="1375"/>
      <c r="C437" s="1373"/>
      <c r="D437" s="1375"/>
      <c r="E437" s="1471"/>
      <c r="F437" s="1375"/>
      <c r="G437" s="1271"/>
      <c r="H437" s="906"/>
      <c r="I437" s="906"/>
      <c r="J437" s="906"/>
      <c r="K437" s="906"/>
      <c r="L437" s="906"/>
      <c r="M437" s="906"/>
      <c r="N437" s="302"/>
      <c r="O437" s="302"/>
      <c r="P437" s="460"/>
      <c r="Q437" s="892"/>
      <c r="R437" s="1120"/>
      <c r="S437" s="492"/>
      <c r="T437" s="460"/>
      <c r="U437" s="460"/>
      <c r="V437" s="34"/>
      <c r="W437" s="892"/>
      <c r="X437" s="906"/>
      <c r="Y437" s="460"/>
      <c r="Z437" s="123"/>
      <c r="AA437" s="123"/>
      <c r="AB437" s="123"/>
      <c r="AC437" s="123"/>
      <c r="AD437" s="123"/>
      <c r="AE437" s="123"/>
      <c r="AF437" s="1375"/>
      <c r="AG437" s="1375"/>
      <c r="AH437" s="1233"/>
      <c r="AI437" s="892">
        <v>53728</v>
      </c>
      <c r="AJ437" s="906" t="s">
        <v>4</v>
      </c>
      <c r="AK437" s="1375"/>
      <c r="AL437" s="1185"/>
      <c r="AM437" s="1185"/>
      <c r="AN437" s="803"/>
      <c r="AO437" s="1186"/>
      <c r="AP437" s="840"/>
      <c r="AQ437" s="1185"/>
      <c r="AR437" s="1233"/>
    </row>
    <row r="438" spans="1:44" s="116" customFormat="1" ht="52.15" customHeight="1" x14ac:dyDescent="0.2">
      <c r="A438" s="2324" t="s">
        <v>1068</v>
      </c>
      <c r="B438" s="2325"/>
      <c r="C438" s="2325"/>
      <c r="D438" s="2325"/>
      <c r="E438" s="2325"/>
      <c r="F438" s="2325"/>
      <c r="G438" s="2326"/>
      <c r="H438" s="62"/>
      <c r="I438" s="1096"/>
      <c r="J438" s="1096"/>
      <c r="K438" s="161"/>
      <c r="L438" s="161"/>
      <c r="M438" s="328">
        <f>M450+M454+M456+M457+M458+M459+M460+M441</f>
        <v>458683.45348000003</v>
      </c>
      <c r="N438" s="1096"/>
      <c r="O438" s="1096"/>
      <c r="P438" s="1096"/>
      <c r="Q438" s="327">
        <f>Q441</f>
        <v>2.9235699999999998</v>
      </c>
      <c r="R438" s="1096"/>
      <c r="S438" s="328">
        <f>S441</f>
        <v>307636.58217000001</v>
      </c>
      <c r="T438" s="1096"/>
      <c r="U438" s="1096"/>
      <c r="V438" s="1096"/>
      <c r="W438" s="126"/>
      <c r="X438" s="1096"/>
      <c r="Y438" s="1096"/>
      <c r="Z438" s="1086"/>
      <c r="AA438" s="1086"/>
      <c r="AB438" s="1086"/>
      <c r="AC438" s="1086"/>
      <c r="AD438" s="1086"/>
      <c r="AE438" s="1086"/>
      <c r="AF438" s="1086"/>
      <c r="AG438" s="1086"/>
      <c r="AH438" s="1086"/>
      <c r="AI438" s="1086"/>
      <c r="AJ438" s="1086"/>
      <c r="AK438" s="1086"/>
      <c r="AL438" s="1086"/>
      <c r="AM438" s="1086"/>
      <c r="AN438" s="1086"/>
      <c r="AO438" s="1086"/>
      <c r="AP438" s="1086"/>
      <c r="AQ438" s="1086"/>
      <c r="AR438" s="1086"/>
    </row>
    <row r="439" spans="1:44" s="116" customFormat="1" ht="61.7" customHeight="1" x14ac:dyDescent="0.2">
      <c r="A439" s="2303" t="s">
        <v>1069</v>
      </c>
      <c r="B439" s="2304"/>
      <c r="C439" s="2304"/>
      <c r="D439" s="2304"/>
      <c r="E439" s="2304"/>
      <c r="F439" s="2304"/>
      <c r="G439" s="2305"/>
      <c r="H439" s="62"/>
      <c r="I439" s="1096"/>
      <c r="J439" s="1096"/>
      <c r="K439" s="1095"/>
      <c r="L439" s="1095"/>
      <c r="M439" s="63"/>
      <c r="N439" s="1096"/>
      <c r="O439" s="1096"/>
      <c r="P439" s="1096"/>
      <c r="Q439" s="1096"/>
      <c r="R439" s="1096"/>
      <c r="S439" s="292"/>
      <c r="T439" s="1096"/>
      <c r="U439" s="1096"/>
      <c r="V439" s="1096"/>
      <c r="W439" s="126"/>
      <c r="X439" s="1096"/>
      <c r="Y439" s="1096"/>
      <c r="Z439" s="1086"/>
      <c r="AA439" s="1086"/>
      <c r="AB439" s="1086"/>
      <c r="AC439" s="1086"/>
      <c r="AD439" s="1086"/>
      <c r="AE439" s="1086"/>
      <c r="AF439" s="1086"/>
      <c r="AG439" s="1086"/>
      <c r="AH439" s="1086"/>
      <c r="AI439" s="1086"/>
      <c r="AJ439" s="1086"/>
      <c r="AK439" s="1086"/>
      <c r="AL439" s="1086"/>
      <c r="AM439" s="1086"/>
      <c r="AN439" s="1086"/>
      <c r="AO439" s="1086"/>
      <c r="AP439" s="1086"/>
      <c r="AQ439" s="1086"/>
      <c r="AR439" s="1086"/>
    </row>
    <row r="440" spans="1:44" s="116" customFormat="1" ht="60.4" customHeight="1" thickBot="1" x14ac:dyDescent="0.25">
      <c r="A440" s="2101" t="s">
        <v>1066</v>
      </c>
      <c r="B440" s="2102"/>
      <c r="C440" s="2102"/>
      <c r="D440" s="2102"/>
      <c r="E440" s="2102"/>
      <c r="F440" s="2102"/>
      <c r="G440" s="2103"/>
      <c r="H440" s="995"/>
      <c r="I440" s="1057"/>
      <c r="J440" s="1057"/>
      <c r="K440" s="1057"/>
      <c r="L440" s="1057"/>
      <c r="M440" s="1065"/>
      <c r="N440" s="1096"/>
      <c r="O440" s="1096"/>
      <c r="P440" s="1096"/>
      <c r="Q440" s="1096"/>
      <c r="R440" s="1096"/>
      <c r="S440" s="292"/>
      <c r="T440" s="1096"/>
      <c r="U440" s="1096"/>
      <c r="V440" s="1096"/>
      <c r="W440" s="126"/>
      <c r="X440" s="1096"/>
      <c r="Y440" s="1096"/>
      <c r="Z440" s="1086"/>
      <c r="AA440" s="1086"/>
      <c r="AB440" s="1086"/>
      <c r="AC440" s="1086"/>
      <c r="AD440" s="1086"/>
      <c r="AE440" s="1086"/>
      <c r="AF440" s="1086"/>
      <c r="AG440" s="1086"/>
      <c r="AH440" s="1086"/>
      <c r="AI440" s="1086"/>
      <c r="AJ440" s="1086"/>
      <c r="AK440" s="1086"/>
      <c r="AL440" s="1086"/>
      <c r="AM440" s="1086"/>
      <c r="AN440" s="1086"/>
      <c r="AO440" s="1086"/>
      <c r="AP440" s="1086"/>
      <c r="AQ440" s="1086"/>
      <c r="AR440" s="1086"/>
    </row>
    <row r="441" spans="1:44" s="116" customFormat="1" ht="48.2" customHeight="1" x14ac:dyDescent="0.2">
      <c r="A441" s="1252">
        <v>105</v>
      </c>
      <c r="B441" s="1303"/>
      <c r="C441" s="1629" t="s">
        <v>1080</v>
      </c>
      <c r="D441" s="1337">
        <v>2.9235699999999998</v>
      </c>
      <c r="E441" s="2099">
        <v>56152</v>
      </c>
      <c r="F441" s="1337">
        <v>2.9235699999999998</v>
      </c>
      <c r="G441" s="1270">
        <v>56152</v>
      </c>
      <c r="H441" s="1638" t="s">
        <v>441</v>
      </c>
      <c r="I441" s="1638" t="s">
        <v>1185</v>
      </c>
      <c r="J441" s="2086" t="s">
        <v>1070</v>
      </c>
      <c r="K441" s="905">
        <f>2.92357-2.92357</f>
        <v>0</v>
      </c>
      <c r="L441" s="1070" t="s">
        <v>2</v>
      </c>
      <c r="M441" s="2200">
        <f>179150+407000-179150-407000+M451</f>
        <v>361208.66648000001</v>
      </c>
      <c r="N441" s="2328" t="s">
        <v>441</v>
      </c>
      <c r="O441" s="1638" t="s">
        <v>1185</v>
      </c>
      <c r="P441" s="2086" t="s">
        <v>1070</v>
      </c>
      <c r="Q441" s="574">
        <f>2.92357</f>
        <v>2.9235699999999998</v>
      </c>
      <c r="R441" s="1070" t="s">
        <v>2</v>
      </c>
      <c r="S441" s="2200">
        <f>54935.929+252700.65317</f>
        <v>307636.58217000001</v>
      </c>
      <c r="T441" s="415"/>
      <c r="U441" s="1096"/>
      <c r="V441" s="1096"/>
      <c r="W441" s="126"/>
      <c r="X441" s="1096"/>
      <c r="Y441" s="1096"/>
      <c r="Z441" s="1086"/>
      <c r="AA441" s="1086"/>
      <c r="AB441" s="1086"/>
      <c r="AC441" s="1086"/>
      <c r="AD441" s="1086"/>
      <c r="AE441" s="1086"/>
      <c r="AF441" s="1086"/>
      <c r="AG441" s="1086"/>
      <c r="AH441" s="1086"/>
      <c r="AI441" s="1086"/>
      <c r="AJ441" s="1086"/>
      <c r="AK441" s="1086"/>
      <c r="AL441" s="1086"/>
      <c r="AM441" s="1086"/>
      <c r="AN441" s="1086"/>
      <c r="AO441" s="1086"/>
      <c r="AP441" s="1086"/>
      <c r="AQ441" s="1086"/>
      <c r="AR441" s="1279" t="s">
        <v>1184</v>
      </c>
    </row>
    <row r="442" spans="1:44" s="116" customFormat="1" ht="70.7" customHeight="1" thickBot="1" x14ac:dyDescent="0.25">
      <c r="A442" s="1253"/>
      <c r="B442" s="1564"/>
      <c r="C442" s="1630"/>
      <c r="D442" s="1583"/>
      <c r="E442" s="2100"/>
      <c r="F442" s="1583"/>
      <c r="G442" s="2310"/>
      <c r="H442" s="1639"/>
      <c r="I442" s="1639"/>
      <c r="J442" s="2091"/>
      <c r="K442" s="512">
        <f>56152-56152</f>
        <v>0</v>
      </c>
      <c r="L442" s="1057" t="s">
        <v>4</v>
      </c>
      <c r="M442" s="2284"/>
      <c r="N442" s="2329"/>
      <c r="O442" s="1639"/>
      <c r="P442" s="2091"/>
      <c r="Q442" s="512">
        <f>56152</f>
        <v>56152</v>
      </c>
      <c r="R442" s="1057" t="s">
        <v>4</v>
      </c>
      <c r="S442" s="2284"/>
      <c r="T442" s="415"/>
      <c r="U442" s="1096"/>
      <c r="V442" s="1096"/>
      <c r="W442" s="126"/>
      <c r="X442" s="1096"/>
      <c r="Y442" s="1096"/>
      <c r="Z442" s="1086"/>
      <c r="AA442" s="1086"/>
      <c r="AB442" s="1086"/>
      <c r="AC442" s="1086"/>
      <c r="AD442" s="1086"/>
      <c r="AE442" s="1086"/>
      <c r="AF442" s="1086"/>
      <c r="AG442" s="1086"/>
      <c r="AH442" s="1086"/>
      <c r="AI442" s="1086"/>
      <c r="AJ442" s="1086"/>
      <c r="AK442" s="1086"/>
      <c r="AL442" s="1086"/>
      <c r="AM442" s="1086"/>
      <c r="AN442" s="1086"/>
      <c r="AO442" s="1086"/>
      <c r="AP442" s="1086"/>
      <c r="AQ442" s="1086"/>
      <c r="AR442" s="1268"/>
    </row>
    <row r="443" spans="1:44" s="116" customFormat="1" ht="26.65" hidden="1" customHeight="1" x14ac:dyDescent="0.2">
      <c r="A443" s="1253"/>
      <c r="B443" s="1564"/>
      <c r="C443" s="1630"/>
      <c r="D443" s="1583"/>
      <c r="E443" s="2100"/>
      <c r="F443" s="1583"/>
      <c r="G443" s="2310"/>
      <c r="H443" s="1639"/>
      <c r="I443" s="1639"/>
      <c r="J443" s="514" t="s">
        <v>6</v>
      </c>
      <c r="K443" s="513"/>
      <c r="L443" s="237" t="s">
        <v>2</v>
      </c>
      <c r="M443" s="650">
        <v>0</v>
      </c>
      <c r="N443" s="2329"/>
      <c r="O443" s="1639"/>
      <c r="P443" s="514" t="s">
        <v>6</v>
      </c>
      <c r="Q443" s="520"/>
      <c r="R443" s="237" t="s">
        <v>2</v>
      </c>
      <c r="S443" s="2518"/>
      <c r="T443" s="415"/>
      <c r="U443" s="1096"/>
      <c r="V443" s="1096"/>
      <c r="W443" s="126"/>
      <c r="X443" s="1096"/>
      <c r="Y443" s="1096"/>
      <c r="Z443" s="1086"/>
      <c r="AA443" s="1086"/>
      <c r="AB443" s="1086"/>
      <c r="AC443" s="1086"/>
      <c r="AD443" s="1086"/>
      <c r="AE443" s="1086"/>
      <c r="AF443" s="1086"/>
      <c r="AG443" s="1086"/>
      <c r="AH443" s="1086"/>
      <c r="AI443" s="1086"/>
      <c r="AJ443" s="1086"/>
      <c r="AK443" s="1086"/>
      <c r="AL443" s="1086"/>
      <c r="AM443" s="1086"/>
      <c r="AN443" s="1086"/>
      <c r="AO443" s="1086"/>
      <c r="AP443" s="1086"/>
      <c r="AQ443" s="1086"/>
      <c r="AR443" s="1086"/>
    </row>
    <row r="444" spans="1:44" s="116" customFormat="1" ht="34.15" hidden="1" customHeight="1" x14ac:dyDescent="0.2">
      <c r="A444" s="1253"/>
      <c r="B444" s="1564"/>
      <c r="C444" s="1630"/>
      <c r="D444" s="1583"/>
      <c r="E444" s="2100"/>
      <c r="F444" s="1583"/>
      <c r="G444" s="2310"/>
      <c r="H444" s="1639"/>
      <c r="I444" s="1639"/>
      <c r="J444" s="515" t="s">
        <v>35</v>
      </c>
      <c r="K444" s="513"/>
      <c r="L444" s="237" t="s">
        <v>8</v>
      </c>
      <c r="M444" s="650">
        <v>0</v>
      </c>
      <c r="N444" s="2329"/>
      <c r="O444" s="1639"/>
      <c r="P444" s="515" t="s">
        <v>35</v>
      </c>
      <c r="Q444" s="520"/>
      <c r="R444" s="237" t="s">
        <v>8</v>
      </c>
      <c r="S444" s="2518"/>
      <c r="T444" s="415"/>
      <c r="U444" s="1096"/>
      <c r="V444" s="1096"/>
      <c r="W444" s="126"/>
      <c r="X444" s="1096"/>
      <c r="Y444" s="1096"/>
      <c r="Z444" s="1086"/>
      <c r="AA444" s="1086"/>
      <c r="AB444" s="1086"/>
      <c r="AC444" s="1086"/>
      <c r="AD444" s="1086"/>
      <c r="AE444" s="1086"/>
      <c r="AF444" s="1086"/>
      <c r="AG444" s="1086"/>
      <c r="AH444" s="1086"/>
      <c r="AI444" s="1086"/>
      <c r="AJ444" s="1086"/>
      <c r="AK444" s="1086"/>
      <c r="AL444" s="1086"/>
      <c r="AM444" s="1086"/>
      <c r="AN444" s="1086"/>
      <c r="AO444" s="1086"/>
      <c r="AP444" s="1086"/>
      <c r="AQ444" s="1086"/>
      <c r="AR444" s="1086"/>
    </row>
    <row r="445" spans="1:44" s="116" customFormat="1" ht="34.15" hidden="1" customHeight="1" x14ac:dyDescent="0.2">
      <c r="A445" s="1253"/>
      <c r="B445" s="1564"/>
      <c r="C445" s="1630"/>
      <c r="D445" s="1583"/>
      <c r="E445" s="2100"/>
      <c r="F445" s="1583"/>
      <c r="G445" s="2310"/>
      <c r="H445" s="1639"/>
      <c r="I445" s="1639"/>
      <c r="J445" s="515" t="s">
        <v>1041</v>
      </c>
      <c r="K445" s="513"/>
      <c r="L445" s="237" t="s">
        <v>1044</v>
      </c>
      <c r="M445" s="650">
        <v>0</v>
      </c>
      <c r="N445" s="2329"/>
      <c r="O445" s="1639"/>
      <c r="P445" s="515" t="s">
        <v>1041</v>
      </c>
      <c r="Q445" s="520"/>
      <c r="R445" s="237" t="s">
        <v>1044</v>
      </c>
      <c r="S445" s="2518"/>
      <c r="T445" s="415"/>
      <c r="U445" s="1096"/>
      <c r="V445" s="1096"/>
      <c r="W445" s="126"/>
      <c r="X445" s="1096"/>
      <c r="Y445" s="1096"/>
      <c r="Z445" s="1086"/>
      <c r="AA445" s="1086"/>
      <c r="AB445" s="1086"/>
      <c r="AC445" s="1086"/>
      <c r="AD445" s="1086"/>
      <c r="AE445" s="1086"/>
      <c r="AF445" s="1086"/>
      <c r="AG445" s="1086"/>
      <c r="AH445" s="1086"/>
      <c r="AI445" s="1086"/>
      <c r="AJ445" s="1086"/>
      <c r="AK445" s="1086"/>
      <c r="AL445" s="1086"/>
      <c r="AM445" s="1086"/>
      <c r="AN445" s="1086"/>
      <c r="AO445" s="1086"/>
      <c r="AP445" s="1086"/>
      <c r="AQ445" s="1086"/>
      <c r="AR445" s="1086"/>
    </row>
    <row r="446" spans="1:44" s="116" customFormat="1" ht="22.5" hidden="1" customHeight="1" x14ac:dyDescent="0.2">
      <c r="A446" s="1253"/>
      <c r="B446" s="1564"/>
      <c r="C446" s="1630"/>
      <c r="D446" s="1583"/>
      <c r="E446" s="2100"/>
      <c r="F446" s="1583"/>
      <c r="G446" s="2310"/>
      <c r="H446" s="1639"/>
      <c r="I446" s="1639"/>
      <c r="J446" s="515" t="s">
        <v>11</v>
      </c>
      <c r="K446" s="513"/>
      <c r="L446" s="237" t="s">
        <v>4</v>
      </c>
      <c r="M446" s="650">
        <v>0</v>
      </c>
      <c r="N446" s="2329"/>
      <c r="O446" s="1639"/>
      <c r="P446" s="515" t="s">
        <v>11</v>
      </c>
      <c r="Q446" s="520"/>
      <c r="R446" s="237" t="s">
        <v>4</v>
      </c>
      <c r="S446" s="2518"/>
      <c r="T446" s="415"/>
      <c r="U446" s="1096"/>
      <c r="V446" s="1096"/>
      <c r="W446" s="126"/>
      <c r="X446" s="1096"/>
      <c r="Y446" s="1096"/>
      <c r="Z446" s="1086"/>
      <c r="AA446" s="1086"/>
      <c r="AB446" s="1086"/>
      <c r="AC446" s="1086"/>
      <c r="AD446" s="1086"/>
      <c r="AE446" s="1086"/>
      <c r="AF446" s="1086"/>
      <c r="AG446" s="1086"/>
      <c r="AH446" s="1086"/>
      <c r="AI446" s="1086"/>
      <c r="AJ446" s="1086"/>
      <c r="AK446" s="1086"/>
      <c r="AL446" s="1086"/>
      <c r="AM446" s="1086"/>
      <c r="AN446" s="1086"/>
      <c r="AO446" s="1086"/>
      <c r="AP446" s="1086"/>
      <c r="AQ446" s="1086"/>
      <c r="AR446" s="1086"/>
    </row>
    <row r="447" spans="1:44" s="116" customFormat="1" ht="22.5" hidden="1" customHeight="1" x14ac:dyDescent="0.2">
      <c r="A447" s="1253"/>
      <c r="B447" s="1564"/>
      <c r="C447" s="1630"/>
      <c r="D447" s="1583"/>
      <c r="E447" s="2100"/>
      <c r="F447" s="1583"/>
      <c r="G447" s="2310"/>
      <c r="H447" s="1639"/>
      <c r="I447" s="1639"/>
      <c r="J447" s="515" t="s">
        <v>1042</v>
      </c>
      <c r="K447" s="513"/>
      <c r="L447" s="237" t="s">
        <v>1044</v>
      </c>
      <c r="M447" s="650">
        <v>0</v>
      </c>
      <c r="N447" s="2329"/>
      <c r="O447" s="1639"/>
      <c r="P447" s="515" t="s">
        <v>1042</v>
      </c>
      <c r="Q447" s="520"/>
      <c r="R447" s="237" t="s">
        <v>1044</v>
      </c>
      <c r="S447" s="2518"/>
      <c r="T447" s="415"/>
      <c r="U447" s="1096"/>
      <c r="V447" s="1096"/>
      <c r="W447" s="126"/>
      <c r="X447" s="1096"/>
      <c r="Y447" s="1096"/>
      <c r="Z447" s="1086"/>
      <c r="AA447" s="1086"/>
      <c r="AB447" s="1086"/>
      <c r="AC447" s="1086"/>
      <c r="AD447" s="1086"/>
      <c r="AE447" s="1086"/>
      <c r="AF447" s="1086"/>
      <c r="AG447" s="1086"/>
      <c r="AH447" s="1086"/>
      <c r="AI447" s="1086"/>
      <c r="AJ447" s="1086"/>
      <c r="AK447" s="1086"/>
      <c r="AL447" s="1086"/>
      <c r="AM447" s="1086"/>
      <c r="AN447" s="1086"/>
      <c r="AO447" s="1086"/>
      <c r="AP447" s="1086"/>
      <c r="AQ447" s="1086"/>
      <c r="AR447" s="1086"/>
    </row>
    <row r="448" spans="1:44" s="116" customFormat="1" ht="34.15" hidden="1" customHeight="1" x14ac:dyDescent="0.2">
      <c r="A448" s="1254"/>
      <c r="B448" s="1236"/>
      <c r="C448" s="1631"/>
      <c r="D448" s="1349"/>
      <c r="E448" s="1796"/>
      <c r="F448" s="1349"/>
      <c r="G448" s="1588"/>
      <c r="H448" s="1640"/>
      <c r="I448" s="1640"/>
      <c r="J448" s="527" t="s">
        <v>674</v>
      </c>
      <c r="K448" s="528"/>
      <c r="L448" s="517" t="s">
        <v>8</v>
      </c>
      <c r="M448" s="398">
        <v>0</v>
      </c>
      <c r="N448" s="2330"/>
      <c r="O448" s="1640"/>
      <c r="P448" s="527" t="s">
        <v>674</v>
      </c>
      <c r="Q448" s="2519"/>
      <c r="R448" s="517" t="s">
        <v>8</v>
      </c>
      <c r="S448" s="2520"/>
      <c r="T448" s="415"/>
      <c r="U448" s="1096"/>
      <c r="V448" s="1096"/>
      <c r="W448" s="126"/>
      <c r="X448" s="1096"/>
      <c r="Y448" s="1096"/>
      <c r="Z448" s="1086"/>
      <c r="AA448" s="1086"/>
      <c r="AB448" s="1086"/>
      <c r="AC448" s="1086"/>
      <c r="AD448" s="1086"/>
      <c r="AE448" s="1086"/>
      <c r="AF448" s="1086"/>
      <c r="AG448" s="1086"/>
      <c r="AH448" s="1086"/>
      <c r="AI448" s="1086"/>
      <c r="AJ448" s="1086"/>
      <c r="AK448" s="1086"/>
      <c r="AL448" s="1086"/>
      <c r="AM448" s="1086"/>
      <c r="AN448" s="1086"/>
      <c r="AO448" s="1086"/>
      <c r="AP448" s="1086"/>
      <c r="AQ448" s="1086"/>
      <c r="AR448" s="1086"/>
    </row>
    <row r="449" spans="1:44" s="116" customFormat="1" ht="22.5" hidden="1" customHeight="1" x14ac:dyDescent="0.2">
      <c r="A449" s="911"/>
      <c r="B449" s="911"/>
      <c r="C449" s="953" t="s">
        <v>1075</v>
      </c>
      <c r="D449" s="996"/>
      <c r="E449" s="987"/>
      <c r="F449" s="996"/>
      <c r="G449" s="970"/>
      <c r="H449" s="1058"/>
      <c r="I449" s="1058"/>
      <c r="J449" s="1058"/>
      <c r="K449" s="1066"/>
      <c r="L449" s="1058"/>
      <c r="M449" s="452"/>
      <c r="N449" s="1096"/>
      <c r="O449" s="1096"/>
      <c r="P449" s="1096"/>
      <c r="Q449" s="1096"/>
      <c r="R449" s="1096"/>
      <c r="S449" s="1096"/>
      <c r="T449" s="1096"/>
      <c r="U449" s="1096"/>
      <c r="V449" s="1096"/>
      <c r="W449" s="126"/>
      <c r="X449" s="1096"/>
      <c r="Y449" s="1096"/>
      <c r="Z449" s="1086"/>
      <c r="AA449" s="1086"/>
      <c r="AB449" s="1086"/>
      <c r="AC449" s="1086"/>
      <c r="AD449" s="1086"/>
      <c r="AE449" s="1086"/>
      <c r="AF449" s="1086"/>
      <c r="AG449" s="1086"/>
      <c r="AH449" s="1086"/>
      <c r="AI449" s="1086"/>
      <c r="AJ449" s="1086"/>
      <c r="AK449" s="1086"/>
      <c r="AL449" s="1086"/>
      <c r="AM449" s="1086"/>
      <c r="AN449" s="1086"/>
      <c r="AO449" s="1086"/>
      <c r="AP449" s="1086"/>
      <c r="AQ449" s="1086"/>
      <c r="AR449" s="1086"/>
    </row>
    <row r="450" spans="1:44" s="116" customFormat="1" ht="67.150000000000006" hidden="1" customHeight="1" x14ac:dyDescent="0.2">
      <c r="A450" s="878"/>
      <c r="B450" s="878"/>
      <c r="C450" s="919" t="s">
        <v>1081</v>
      </c>
      <c r="D450" s="448"/>
      <c r="E450" s="138"/>
      <c r="F450" s="448"/>
      <c r="G450" s="449"/>
      <c r="H450" s="448"/>
      <c r="I450" s="448"/>
      <c r="J450" s="450"/>
      <c r="K450" s="451"/>
      <c r="L450" s="448"/>
      <c r="M450" s="453">
        <f>179150-179150</f>
        <v>0</v>
      </c>
      <c r="N450" s="1096"/>
      <c r="O450" s="1096"/>
      <c r="P450" s="1096"/>
      <c r="Q450" s="1096"/>
      <c r="R450" s="1096"/>
      <c r="S450" s="461">
        <f>S441</f>
        <v>307636.58217000001</v>
      </c>
      <c r="T450" s="1096"/>
      <c r="U450" s="1096"/>
      <c r="V450" s="1096"/>
      <c r="W450" s="126"/>
      <c r="X450" s="1096"/>
      <c r="Y450" s="1096"/>
      <c r="Z450" s="1086"/>
      <c r="AA450" s="1086"/>
      <c r="AB450" s="1086"/>
      <c r="AC450" s="1086"/>
      <c r="AD450" s="1086"/>
      <c r="AE450" s="1086"/>
      <c r="AF450" s="1086"/>
      <c r="AG450" s="1086"/>
      <c r="AH450" s="1086"/>
      <c r="AI450" s="1086"/>
      <c r="AJ450" s="1086"/>
      <c r="AK450" s="1086"/>
      <c r="AL450" s="1086"/>
      <c r="AM450" s="1086"/>
      <c r="AN450" s="1086"/>
      <c r="AO450" s="1086"/>
      <c r="AP450" s="1086"/>
      <c r="AQ450" s="1086"/>
      <c r="AR450" s="1086"/>
    </row>
    <row r="451" spans="1:44" s="116" customFormat="1" ht="32.25" hidden="1" customHeight="1" x14ac:dyDescent="0.2">
      <c r="A451" s="965"/>
      <c r="B451" s="965"/>
      <c r="C451" s="940" t="s">
        <v>1076</v>
      </c>
      <c r="D451" s="995"/>
      <c r="E451" s="986"/>
      <c r="F451" s="995"/>
      <c r="G451" s="997"/>
      <c r="H451" s="1057"/>
      <c r="I451" s="1057"/>
      <c r="J451" s="1057"/>
      <c r="K451" s="1065"/>
      <c r="L451" s="1057"/>
      <c r="M451" s="1065">
        <f>407000-407000+337000+24208.66648</f>
        <v>361208.66648000001</v>
      </c>
      <c r="N451" s="529"/>
      <c r="O451" s="529"/>
      <c r="P451" s="529"/>
      <c r="Q451" s="529"/>
      <c r="R451" s="529"/>
      <c r="S451" s="529">
        <v>0</v>
      </c>
      <c r="T451" s="1096"/>
      <c r="U451" s="1096"/>
      <c r="V451" s="1096"/>
      <c r="W451" s="126"/>
      <c r="X451" s="1096"/>
      <c r="Y451" s="1096"/>
      <c r="Z451" s="1086"/>
      <c r="AA451" s="1086"/>
      <c r="AB451" s="1086"/>
      <c r="AC451" s="1086"/>
      <c r="AD451" s="1086"/>
      <c r="AE451" s="1086"/>
      <c r="AF451" s="1086"/>
      <c r="AG451" s="1086"/>
      <c r="AH451" s="1086"/>
      <c r="AI451" s="1086"/>
      <c r="AJ451" s="1086"/>
      <c r="AK451" s="1086"/>
      <c r="AL451" s="1086"/>
      <c r="AM451" s="1086"/>
      <c r="AN451" s="1086"/>
      <c r="AO451" s="1086"/>
      <c r="AP451" s="1086"/>
      <c r="AQ451" s="1086"/>
      <c r="AR451" s="1086"/>
    </row>
    <row r="452" spans="1:44" s="116" customFormat="1" ht="63.6" customHeight="1" x14ac:dyDescent="0.2">
      <c r="A452" s="2320" t="s">
        <v>1069</v>
      </c>
      <c r="B452" s="2321"/>
      <c r="C452" s="2321"/>
      <c r="D452" s="2321"/>
      <c r="E452" s="2321"/>
      <c r="F452" s="2321"/>
      <c r="G452" s="2322"/>
      <c r="H452" s="942"/>
      <c r="I452" s="1090"/>
      <c r="J452" s="1090"/>
      <c r="K452" s="1090"/>
      <c r="L452" s="1090"/>
      <c r="M452" s="530"/>
      <c r="N452" s="1135"/>
      <c r="O452" s="1135"/>
      <c r="P452" s="1135"/>
      <c r="Q452" s="1135"/>
      <c r="R452" s="1135"/>
      <c r="S452" s="531"/>
      <c r="T452" s="415"/>
      <c r="U452" s="1096"/>
      <c r="V452" s="1096"/>
      <c r="W452" s="126"/>
      <c r="X452" s="1096"/>
      <c r="Y452" s="1096"/>
      <c r="Z452" s="1086"/>
      <c r="AA452" s="1086"/>
      <c r="AB452" s="1086"/>
      <c r="AC452" s="1086"/>
      <c r="AD452" s="1086"/>
      <c r="AE452" s="1086"/>
      <c r="AF452" s="1086"/>
      <c r="AG452" s="1086"/>
      <c r="AH452" s="1086"/>
      <c r="AI452" s="1086"/>
      <c r="AJ452" s="1086"/>
      <c r="AK452" s="1086"/>
      <c r="AL452" s="1086"/>
      <c r="AM452" s="1086"/>
      <c r="AN452" s="1086"/>
      <c r="AO452" s="1086"/>
      <c r="AP452" s="1086"/>
      <c r="AQ452" s="1086"/>
      <c r="AR452" s="1086"/>
    </row>
    <row r="453" spans="1:44" s="116" customFormat="1" ht="29.65" customHeight="1" x14ac:dyDescent="0.2">
      <c r="A453" s="1233">
        <v>106</v>
      </c>
      <c r="B453" s="1233">
        <v>2245428</v>
      </c>
      <c r="C453" s="1245" t="s">
        <v>1125</v>
      </c>
      <c r="D453" s="1258">
        <v>8.1340000000000003</v>
      </c>
      <c r="E453" s="1589">
        <f>91432</f>
        <v>91432</v>
      </c>
      <c r="F453" s="1258">
        <v>8.1340000000000003</v>
      </c>
      <c r="G453" s="1596">
        <f>91432</f>
        <v>91432</v>
      </c>
      <c r="H453" s="1284" t="s">
        <v>1091</v>
      </c>
      <c r="I453" s="1284" t="s">
        <v>1089</v>
      </c>
      <c r="J453" s="448" t="s">
        <v>1074</v>
      </c>
      <c r="K453" s="1120"/>
      <c r="L453" s="1120"/>
      <c r="M453" s="453">
        <f>M454+M456+M457+M458+M459+M460</f>
        <v>97474.786999999997</v>
      </c>
      <c r="N453" s="161"/>
      <c r="O453" s="161"/>
      <c r="P453" s="161"/>
      <c r="Q453" s="161"/>
      <c r="R453" s="161"/>
      <c r="S453" s="161"/>
      <c r="T453" s="1096"/>
      <c r="U453" s="1096"/>
      <c r="V453" s="1096"/>
      <c r="W453" s="126"/>
      <c r="X453" s="1096"/>
      <c r="Y453" s="1096"/>
      <c r="Z453" s="1086"/>
      <c r="AA453" s="1086"/>
      <c r="AB453" s="1086"/>
      <c r="AC453" s="1086"/>
      <c r="AD453" s="1086"/>
      <c r="AE453" s="1086"/>
      <c r="AF453" s="1086"/>
      <c r="AG453" s="1086"/>
      <c r="AH453" s="1086"/>
      <c r="AI453" s="1086"/>
      <c r="AJ453" s="1086"/>
      <c r="AK453" s="1086"/>
      <c r="AL453" s="1086"/>
      <c r="AM453" s="1086"/>
      <c r="AN453" s="1086"/>
      <c r="AO453" s="1086"/>
      <c r="AP453" s="1086"/>
      <c r="AQ453" s="1086"/>
      <c r="AR453" s="1279" t="s">
        <v>1186</v>
      </c>
    </row>
    <row r="454" spans="1:44" s="116" customFormat="1" ht="21.2" customHeight="1" x14ac:dyDescent="0.2">
      <c r="A454" s="1233"/>
      <c r="B454" s="1233"/>
      <c r="C454" s="1245"/>
      <c r="D454" s="1258"/>
      <c r="E454" s="1589"/>
      <c r="F454" s="1258"/>
      <c r="G454" s="1596"/>
      <c r="H454" s="1284"/>
      <c r="I454" s="1284"/>
      <c r="J454" s="1284" t="s">
        <v>469</v>
      </c>
      <c r="K454" s="906">
        <v>0.88300000000000001</v>
      </c>
      <c r="L454" s="906" t="s">
        <v>2</v>
      </c>
      <c r="M454" s="1334">
        <f>97484.78672-10-M456-M457-M458-M459-M460+0.00028</f>
        <v>74402.013619999983</v>
      </c>
      <c r="N454" s="161"/>
      <c r="O454" s="161"/>
      <c r="P454" s="161"/>
      <c r="Q454" s="161"/>
      <c r="R454" s="161"/>
      <c r="S454" s="161"/>
      <c r="T454" s="1096"/>
      <c r="U454" s="1096"/>
      <c r="V454" s="1096"/>
      <c r="W454" s="126"/>
      <c r="X454" s="1096"/>
      <c r="Y454" s="1096"/>
      <c r="Z454" s="1086"/>
      <c r="AA454" s="1086"/>
      <c r="AB454" s="1086"/>
      <c r="AC454" s="1086"/>
      <c r="AD454" s="1086"/>
      <c r="AE454" s="1086"/>
      <c r="AF454" s="1086"/>
      <c r="AG454" s="1086"/>
      <c r="AH454" s="1086"/>
      <c r="AI454" s="1086"/>
      <c r="AJ454" s="1086"/>
      <c r="AK454" s="1086"/>
      <c r="AL454" s="1086"/>
      <c r="AM454" s="1086"/>
      <c r="AN454" s="1086"/>
      <c r="AO454" s="1086"/>
      <c r="AP454" s="1086"/>
      <c r="AQ454" s="1086"/>
      <c r="AR454" s="1261"/>
    </row>
    <row r="455" spans="1:44" s="116" customFormat="1" ht="21.2" customHeight="1" x14ac:dyDescent="0.2">
      <c r="A455" s="1233"/>
      <c r="B455" s="1233"/>
      <c r="C455" s="1245"/>
      <c r="D455" s="1258"/>
      <c r="E455" s="1589"/>
      <c r="F455" s="1258"/>
      <c r="G455" s="1596"/>
      <c r="H455" s="1284"/>
      <c r="I455" s="1284"/>
      <c r="J455" s="1284"/>
      <c r="K455" s="897">
        <v>17216.599999999999</v>
      </c>
      <c r="L455" s="1116" t="s">
        <v>3</v>
      </c>
      <c r="M455" s="1334"/>
      <c r="N455" s="161"/>
      <c r="O455" s="161"/>
      <c r="P455" s="161"/>
      <c r="Q455" s="161"/>
      <c r="R455" s="161"/>
      <c r="S455" s="161"/>
      <c r="T455" s="1096"/>
      <c r="U455" s="1096"/>
      <c r="V455" s="1096"/>
      <c r="W455" s="126"/>
      <c r="X455" s="1096"/>
      <c r="Y455" s="1096"/>
      <c r="Z455" s="1086"/>
      <c r="AA455" s="1086"/>
      <c r="AB455" s="1086"/>
      <c r="AC455" s="1086"/>
      <c r="AD455" s="1086"/>
      <c r="AE455" s="1086"/>
      <c r="AF455" s="1086"/>
      <c r="AG455" s="1086"/>
      <c r="AH455" s="1086"/>
      <c r="AI455" s="1086"/>
      <c r="AJ455" s="1086"/>
      <c r="AK455" s="1086"/>
      <c r="AL455" s="1086"/>
      <c r="AM455" s="1086"/>
      <c r="AN455" s="1086"/>
      <c r="AO455" s="1086"/>
      <c r="AP455" s="1086"/>
      <c r="AQ455" s="1086"/>
      <c r="AR455" s="1261"/>
    </row>
    <row r="456" spans="1:44" s="116" customFormat="1" ht="32.85" customHeight="1" x14ac:dyDescent="0.2">
      <c r="A456" s="1233"/>
      <c r="B456" s="1233"/>
      <c r="C456" s="1245"/>
      <c r="D456" s="1258"/>
      <c r="E456" s="1589"/>
      <c r="F456" s="1258"/>
      <c r="G456" s="1596"/>
      <c r="H456" s="1284"/>
      <c r="I456" s="1284"/>
      <c r="J456" s="906" t="s">
        <v>1032</v>
      </c>
      <c r="K456" s="892">
        <v>2</v>
      </c>
      <c r="L456" s="906" t="s">
        <v>8</v>
      </c>
      <c r="M456" s="897">
        <v>4931.1002600000002</v>
      </c>
      <c r="N456" s="161"/>
      <c r="O456" s="161"/>
      <c r="P456" s="161"/>
      <c r="Q456" s="161"/>
      <c r="R456" s="161"/>
      <c r="S456" s="161"/>
      <c r="T456" s="1096"/>
      <c r="U456" s="1096"/>
      <c r="V456" s="1096"/>
      <c r="W456" s="126"/>
      <c r="X456" s="1096"/>
      <c r="Y456" s="1096"/>
      <c r="Z456" s="1086"/>
      <c r="AA456" s="1086"/>
      <c r="AB456" s="1086"/>
      <c r="AC456" s="1086"/>
      <c r="AD456" s="1086"/>
      <c r="AE456" s="1086"/>
      <c r="AF456" s="1086"/>
      <c r="AG456" s="1086"/>
      <c r="AH456" s="1086"/>
      <c r="AI456" s="1086"/>
      <c r="AJ456" s="1086"/>
      <c r="AK456" s="1086"/>
      <c r="AL456" s="1086"/>
      <c r="AM456" s="1086"/>
      <c r="AN456" s="1086"/>
      <c r="AO456" s="1086"/>
      <c r="AP456" s="1086"/>
      <c r="AQ456" s="1086"/>
      <c r="AR456" s="1261"/>
    </row>
    <row r="457" spans="1:44" s="116" customFormat="1" ht="27.6" customHeight="1" x14ac:dyDescent="0.2">
      <c r="A457" s="1233"/>
      <c r="B457" s="1233"/>
      <c r="C457" s="1245"/>
      <c r="D457" s="1258"/>
      <c r="E457" s="1589"/>
      <c r="F457" s="1258"/>
      <c r="G457" s="1596"/>
      <c r="H457" s="1284"/>
      <c r="I457" s="1284"/>
      <c r="J457" s="906" t="s">
        <v>1019</v>
      </c>
      <c r="K457" s="892">
        <v>146</v>
      </c>
      <c r="L457" s="906" t="s">
        <v>8</v>
      </c>
      <c r="M457" s="897">
        <v>377.47800000000001</v>
      </c>
      <c r="N457" s="161"/>
      <c r="O457" s="161"/>
      <c r="P457" s="161"/>
      <c r="Q457" s="161"/>
      <c r="R457" s="161"/>
      <c r="S457" s="161"/>
      <c r="T457" s="1096"/>
      <c r="U457" s="1096"/>
      <c r="V457" s="1096"/>
      <c r="W457" s="126"/>
      <c r="X457" s="1096"/>
      <c r="Y457" s="1096"/>
      <c r="Z457" s="1086"/>
      <c r="AA457" s="1086"/>
      <c r="AB457" s="1086"/>
      <c r="AC457" s="1086"/>
      <c r="AD457" s="1086"/>
      <c r="AE457" s="1086"/>
      <c r="AF457" s="1086"/>
      <c r="AG457" s="1086"/>
      <c r="AH457" s="1086"/>
      <c r="AI457" s="1086"/>
      <c r="AJ457" s="1086"/>
      <c r="AK457" s="1086"/>
      <c r="AL457" s="1086"/>
      <c r="AM457" s="1086"/>
      <c r="AN457" s="1086"/>
      <c r="AO457" s="1086"/>
      <c r="AP457" s="1086"/>
      <c r="AQ457" s="1086"/>
      <c r="AR457" s="1261"/>
    </row>
    <row r="458" spans="1:44" s="116" customFormat="1" ht="34.700000000000003" customHeight="1" x14ac:dyDescent="0.2">
      <c r="A458" s="1233"/>
      <c r="B458" s="1233"/>
      <c r="C458" s="1245"/>
      <c r="D458" s="1258"/>
      <c r="E458" s="1589"/>
      <c r="F458" s="1258"/>
      <c r="G458" s="1596"/>
      <c r="H458" s="1284"/>
      <c r="I458" s="1284"/>
      <c r="J458" s="906" t="s">
        <v>1060</v>
      </c>
      <c r="K458" s="892">
        <v>493</v>
      </c>
      <c r="L458" s="906" t="s">
        <v>852</v>
      </c>
      <c r="M458" s="897">
        <v>950.476</v>
      </c>
      <c r="N458" s="161"/>
      <c r="O458" s="161"/>
      <c r="P458" s="161"/>
      <c r="Q458" s="161"/>
      <c r="R458" s="161"/>
      <c r="S458" s="161"/>
      <c r="T458" s="1096"/>
      <c r="U458" s="1096"/>
      <c r="V458" s="1096"/>
      <c r="W458" s="126"/>
      <c r="X458" s="1096"/>
      <c r="Y458" s="1096"/>
      <c r="Z458" s="1086"/>
      <c r="AA458" s="1086"/>
      <c r="AB458" s="1086"/>
      <c r="AC458" s="1086"/>
      <c r="AD458" s="1086"/>
      <c r="AE458" s="1086"/>
      <c r="AF458" s="1086"/>
      <c r="AG458" s="1086"/>
      <c r="AH458" s="1086"/>
      <c r="AI458" s="1086"/>
      <c r="AJ458" s="1086"/>
      <c r="AK458" s="1086"/>
      <c r="AL458" s="1086"/>
      <c r="AM458" s="1086"/>
      <c r="AN458" s="1086"/>
      <c r="AO458" s="1086"/>
      <c r="AP458" s="1086"/>
      <c r="AQ458" s="1086"/>
      <c r="AR458" s="1261"/>
    </row>
    <row r="459" spans="1:44" s="116" customFormat="1" ht="28.9" customHeight="1" x14ac:dyDescent="0.2">
      <c r="A459" s="1233"/>
      <c r="B459" s="1233"/>
      <c r="C459" s="1245"/>
      <c r="D459" s="1258"/>
      <c r="E459" s="1589"/>
      <c r="F459" s="1258"/>
      <c r="G459" s="1596"/>
      <c r="H459" s="1284"/>
      <c r="I459" s="1284"/>
      <c r="J459" s="906" t="s">
        <v>1020</v>
      </c>
      <c r="K459" s="901">
        <v>2439.8000000000002</v>
      </c>
      <c r="L459" s="906" t="s">
        <v>3</v>
      </c>
      <c r="M459" s="897">
        <v>178.04300000000001</v>
      </c>
      <c r="N459" s="161"/>
      <c r="O459" s="161"/>
      <c r="P459" s="161"/>
      <c r="Q459" s="161"/>
      <c r="R459" s="161"/>
      <c r="S459" s="161"/>
      <c r="T459" s="1096"/>
      <c r="U459" s="1096"/>
      <c r="V459" s="1096"/>
      <c r="W459" s="126"/>
      <c r="X459" s="1096"/>
      <c r="Y459" s="1096"/>
      <c r="Z459" s="1086"/>
      <c r="AA459" s="1086"/>
      <c r="AB459" s="1086"/>
      <c r="AC459" s="1086"/>
      <c r="AD459" s="1086"/>
      <c r="AE459" s="1086"/>
      <c r="AF459" s="1086"/>
      <c r="AG459" s="1086"/>
      <c r="AH459" s="1086"/>
      <c r="AI459" s="1086"/>
      <c r="AJ459" s="1086"/>
      <c r="AK459" s="1086"/>
      <c r="AL459" s="1086"/>
      <c r="AM459" s="1086"/>
      <c r="AN459" s="1086"/>
      <c r="AO459" s="1086"/>
      <c r="AP459" s="1086"/>
      <c r="AQ459" s="1086"/>
      <c r="AR459" s="1261"/>
    </row>
    <row r="460" spans="1:44" s="116" customFormat="1" ht="24.4" customHeight="1" x14ac:dyDescent="0.2">
      <c r="A460" s="1233"/>
      <c r="B460" s="1233"/>
      <c r="C460" s="1245"/>
      <c r="D460" s="1258"/>
      <c r="E460" s="1589"/>
      <c r="F460" s="1258"/>
      <c r="G460" s="1596"/>
      <c r="H460" s="1284"/>
      <c r="I460" s="1284"/>
      <c r="J460" s="906" t="s">
        <v>12</v>
      </c>
      <c r="K460" s="897">
        <v>2772</v>
      </c>
      <c r="L460" s="906" t="s">
        <v>852</v>
      </c>
      <c r="M460" s="897">
        <v>16635.67612</v>
      </c>
      <c r="N460" s="161"/>
      <c r="O460" s="161"/>
      <c r="P460" s="161"/>
      <c r="Q460" s="161"/>
      <c r="R460" s="161"/>
      <c r="S460" s="161"/>
      <c r="T460" s="1096"/>
      <c r="U460" s="1096"/>
      <c r="V460" s="1096"/>
      <c r="W460" s="126"/>
      <c r="X460" s="1096"/>
      <c r="Y460" s="1096"/>
      <c r="Z460" s="1086"/>
      <c r="AA460" s="1086"/>
      <c r="AB460" s="1086"/>
      <c r="AC460" s="1086"/>
      <c r="AD460" s="1086"/>
      <c r="AE460" s="1086"/>
      <c r="AF460" s="1086"/>
      <c r="AG460" s="1086"/>
      <c r="AH460" s="1086"/>
      <c r="AI460" s="1086"/>
      <c r="AJ460" s="1086"/>
      <c r="AK460" s="1086"/>
      <c r="AL460" s="1086"/>
      <c r="AM460" s="1086"/>
      <c r="AN460" s="1086"/>
      <c r="AO460" s="1086"/>
      <c r="AP460" s="1086"/>
      <c r="AQ460" s="1086"/>
      <c r="AR460" s="1268"/>
    </row>
    <row r="461" spans="1:44" s="116" customFormat="1" ht="37.35" customHeight="1" x14ac:dyDescent="0.2">
      <c r="A461" s="532"/>
      <c r="B461" s="2521" t="s">
        <v>1016</v>
      </c>
      <c r="C461" s="2522"/>
      <c r="D461" s="2522"/>
      <c r="E461" s="2522"/>
      <c r="F461" s="2522"/>
      <c r="G461" s="2523"/>
      <c r="H461" s="336"/>
      <c r="I461" s="337"/>
      <c r="J461" s="337"/>
      <c r="K461" s="337"/>
      <c r="L461" s="337"/>
      <c r="M461" s="328">
        <f>M465+M467+M468+M470+M471+M472+M473+M477</f>
        <v>1422.80981</v>
      </c>
      <c r="N461" s="1096"/>
      <c r="O461" s="1096"/>
      <c r="P461" s="1096"/>
      <c r="Q461" s="1096"/>
      <c r="R461" s="1096"/>
      <c r="S461" s="63">
        <f>S469+S470+S475+S476+S478+S479+S480+S481+S482+S483</f>
        <v>8399.2104900000013</v>
      </c>
      <c r="T461" s="1096"/>
      <c r="U461" s="1096"/>
      <c r="V461" s="1096"/>
      <c r="W461" s="126"/>
      <c r="X461" s="1096"/>
      <c r="Y461" s="328">
        <f>Y475+Y482</f>
        <v>1750</v>
      </c>
      <c r="Z461" s="1086"/>
      <c r="AA461" s="1086"/>
      <c r="AB461" s="1086"/>
      <c r="AC461" s="1086"/>
      <c r="AD461" s="1086"/>
      <c r="AE461" s="1086"/>
      <c r="AF461" s="1086"/>
      <c r="AG461" s="1086"/>
      <c r="AH461" s="1086"/>
      <c r="AI461" s="1086"/>
      <c r="AJ461" s="1086"/>
      <c r="AK461" s="1086"/>
      <c r="AL461" s="1086"/>
      <c r="AM461" s="1086"/>
      <c r="AN461" s="1086"/>
      <c r="AO461" s="1086"/>
      <c r="AP461" s="1086"/>
      <c r="AQ461" s="1086"/>
      <c r="AR461" s="890"/>
    </row>
    <row r="462" spans="1:44" s="116" customFormat="1" ht="19.350000000000001" customHeight="1" x14ac:dyDescent="0.2">
      <c r="A462" s="588"/>
      <c r="B462" s="2521"/>
      <c r="C462" s="1245" t="s">
        <v>1075</v>
      </c>
      <c r="D462" s="1245"/>
      <c r="E462" s="1245"/>
      <c r="F462" s="2522"/>
      <c r="G462" s="2523"/>
      <c r="H462" s="589"/>
      <c r="I462" s="590"/>
      <c r="J462" s="337"/>
      <c r="K462" s="337"/>
      <c r="L462" s="337"/>
      <c r="M462" s="591"/>
      <c r="N462" s="1096"/>
      <c r="O462" s="1096"/>
      <c r="P462" s="1096"/>
      <c r="Q462" s="1096"/>
      <c r="R462" s="1096"/>
      <c r="S462" s="63"/>
      <c r="T462" s="1096"/>
      <c r="U462" s="1096"/>
      <c r="V462" s="1096"/>
      <c r="W462" s="126"/>
      <c r="X462" s="1096"/>
      <c r="Y462" s="328"/>
      <c r="Z462" s="1086"/>
      <c r="AA462" s="1086"/>
      <c r="AB462" s="1086"/>
      <c r="AC462" s="1086"/>
      <c r="AD462" s="1086"/>
      <c r="AE462" s="1086"/>
      <c r="AF462" s="1086"/>
      <c r="AG462" s="1086"/>
      <c r="AH462" s="1086"/>
      <c r="AI462" s="1086"/>
      <c r="AJ462" s="1086"/>
      <c r="AK462" s="1086"/>
      <c r="AL462" s="1086"/>
      <c r="AM462" s="1086"/>
      <c r="AN462" s="1086"/>
      <c r="AO462" s="1086"/>
      <c r="AP462" s="1086"/>
      <c r="AQ462" s="1086"/>
      <c r="AR462" s="938"/>
    </row>
    <row r="463" spans="1:44" s="116" customFormat="1" ht="22.5" customHeight="1" x14ac:dyDescent="0.2">
      <c r="A463" s="588"/>
      <c r="B463" s="2524"/>
      <c r="C463" s="1245" t="s">
        <v>1077</v>
      </c>
      <c r="D463" s="1245"/>
      <c r="E463" s="1245"/>
      <c r="F463" s="2524"/>
      <c r="G463" s="2524"/>
      <c r="H463" s="589"/>
      <c r="I463" s="590"/>
      <c r="J463" s="337"/>
      <c r="K463" s="337"/>
      <c r="L463" s="337"/>
      <c r="M463" s="591"/>
      <c r="N463" s="1096"/>
      <c r="O463" s="1096"/>
      <c r="P463" s="1096"/>
      <c r="Q463" s="1096"/>
      <c r="R463" s="1096"/>
      <c r="S463" s="978"/>
      <c r="T463" s="1096"/>
      <c r="U463" s="1096"/>
      <c r="V463" s="1096"/>
      <c r="W463" s="126"/>
      <c r="X463" s="1096"/>
      <c r="Y463" s="957"/>
      <c r="Z463" s="1086"/>
      <c r="AA463" s="1086"/>
      <c r="AB463" s="1086"/>
      <c r="AC463" s="1086"/>
      <c r="AD463" s="1086"/>
      <c r="AE463" s="1086"/>
      <c r="AF463" s="1086"/>
      <c r="AG463" s="1086"/>
      <c r="AH463" s="1086"/>
      <c r="AI463" s="1086"/>
      <c r="AJ463" s="1086"/>
      <c r="AK463" s="1086"/>
      <c r="AL463" s="1086"/>
      <c r="AM463" s="1086"/>
      <c r="AN463" s="1086"/>
      <c r="AO463" s="1086"/>
      <c r="AP463" s="1086"/>
      <c r="AQ463" s="1086"/>
      <c r="AR463" s="938"/>
    </row>
    <row r="464" spans="1:44" s="116" customFormat="1" ht="23.1" customHeight="1" x14ac:dyDescent="0.2">
      <c r="A464" s="588"/>
      <c r="B464" s="2524"/>
      <c r="C464" s="1245" t="s">
        <v>1076</v>
      </c>
      <c r="D464" s="1245"/>
      <c r="E464" s="1245"/>
      <c r="F464" s="2524"/>
      <c r="G464" s="2524"/>
      <c r="H464" s="589"/>
      <c r="I464" s="590"/>
      <c r="J464" s="337"/>
      <c r="K464" s="337"/>
      <c r="L464" s="337"/>
      <c r="M464" s="591"/>
      <c r="N464" s="1096"/>
      <c r="O464" s="1096"/>
      <c r="P464" s="1096"/>
      <c r="Q464" s="1096"/>
      <c r="R464" s="1096"/>
      <c r="S464" s="978">
        <f>S461</f>
        <v>8399.2104900000013</v>
      </c>
      <c r="T464" s="1096"/>
      <c r="U464" s="1096"/>
      <c r="V464" s="1096"/>
      <c r="W464" s="126"/>
      <c r="X464" s="1096"/>
      <c r="Y464" s="957">
        <f>Y461</f>
        <v>1750</v>
      </c>
      <c r="Z464" s="1086"/>
      <c r="AA464" s="1086"/>
      <c r="AB464" s="1086"/>
      <c r="AC464" s="1086"/>
      <c r="AD464" s="1086"/>
      <c r="AE464" s="1086"/>
      <c r="AF464" s="1086"/>
      <c r="AG464" s="1086"/>
      <c r="AH464" s="1086"/>
      <c r="AI464" s="1086"/>
      <c r="AJ464" s="1086"/>
      <c r="AK464" s="1086"/>
      <c r="AL464" s="1086"/>
      <c r="AM464" s="1086"/>
      <c r="AN464" s="1086"/>
      <c r="AO464" s="1086"/>
      <c r="AP464" s="1086"/>
      <c r="AQ464" s="1086"/>
      <c r="AR464" s="938"/>
    </row>
    <row r="465" spans="1:44" s="116" customFormat="1" ht="70.7" customHeight="1" x14ac:dyDescent="0.2">
      <c r="A465" s="1598">
        <v>1</v>
      </c>
      <c r="B465" s="1827" t="s">
        <v>732</v>
      </c>
      <c r="C465" s="1632" t="s">
        <v>1021</v>
      </c>
      <c r="D465" s="1338">
        <v>1.728</v>
      </c>
      <c r="E465" s="2323">
        <v>31745</v>
      </c>
      <c r="F465" s="1374">
        <v>1.728</v>
      </c>
      <c r="G465" s="1470">
        <v>31745</v>
      </c>
      <c r="H465" s="1374" t="s">
        <v>1208</v>
      </c>
      <c r="I465" s="1374" t="s">
        <v>1209</v>
      </c>
      <c r="J465" s="161" t="s">
        <v>1358</v>
      </c>
      <c r="K465" s="992">
        <v>30</v>
      </c>
      <c r="L465" s="996" t="s">
        <v>1018</v>
      </c>
      <c r="M465" s="1380">
        <v>49.970460000000003</v>
      </c>
      <c r="N465" s="1096"/>
      <c r="O465" s="1096"/>
      <c r="P465" s="1096"/>
      <c r="Q465" s="1096"/>
      <c r="R465" s="1096"/>
      <c r="S465" s="292"/>
      <c r="T465" s="1096"/>
      <c r="U465" s="1096"/>
      <c r="V465" s="1096"/>
      <c r="W465" s="126"/>
      <c r="X465" s="1096"/>
      <c r="Y465" s="1096"/>
      <c r="Z465" s="1086"/>
      <c r="AA465" s="1086"/>
      <c r="AB465" s="1086"/>
      <c r="AC465" s="1086"/>
      <c r="AD465" s="1086"/>
      <c r="AE465" s="1086"/>
      <c r="AF465" s="1086"/>
      <c r="AG465" s="1086"/>
      <c r="AH465" s="1086"/>
      <c r="AI465" s="1086"/>
      <c r="AJ465" s="1086"/>
      <c r="AK465" s="1086"/>
      <c r="AL465" s="1086"/>
      <c r="AM465" s="1086"/>
      <c r="AN465" s="1086"/>
      <c r="AO465" s="1086"/>
      <c r="AP465" s="1086"/>
      <c r="AQ465" s="1086"/>
      <c r="AR465" s="1279" t="s">
        <v>1362</v>
      </c>
    </row>
    <row r="466" spans="1:44" s="116" customFormat="1" ht="28.9" customHeight="1" x14ac:dyDescent="0.2">
      <c r="A466" s="1263"/>
      <c r="B466" s="2106"/>
      <c r="C466" s="1633"/>
      <c r="D466" s="1576"/>
      <c r="E466" s="1557"/>
      <c r="F466" s="1576"/>
      <c r="G466" s="1557"/>
      <c r="H466" s="1375"/>
      <c r="I466" s="1375"/>
      <c r="J466" s="1095" t="s">
        <v>1020</v>
      </c>
      <c r="K466" s="992">
        <v>20</v>
      </c>
      <c r="L466" s="996" t="s">
        <v>3</v>
      </c>
      <c r="M466" s="1346"/>
      <c r="N466" s="1096"/>
      <c r="O466" s="1096"/>
      <c r="P466" s="1096"/>
      <c r="Q466" s="1096"/>
      <c r="R466" s="1096"/>
      <c r="S466" s="292"/>
      <c r="T466" s="1096"/>
      <c r="U466" s="1096"/>
      <c r="V466" s="1096"/>
      <c r="W466" s="126"/>
      <c r="X466" s="1096"/>
      <c r="Y466" s="1096"/>
      <c r="Z466" s="1086"/>
      <c r="AA466" s="1086"/>
      <c r="AB466" s="1086"/>
      <c r="AC466" s="1086"/>
      <c r="AD466" s="1086"/>
      <c r="AE466" s="1086"/>
      <c r="AF466" s="1086"/>
      <c r="AG466" s="1086"/>
      <c r="AH466" s="1086"/>
      <c r="AI466" s="1086"/>
      <c r="AJ466" s="1086"/>
      <c r="AK466" s="1086"/>
      <c r="AL466" s="1086"/>
      <c r="AM466" s="1086"/>
      <c r="AN466" s="1086"/>
      <c r="AO466" s="1086"/>
      <c r="AP466" s="1086"/>
      <c r="AQ466" s="1086"/>
      <c r="AR466" s="1268"/>
    </row>
    <row r="467" spans="1:44" s="116" customFormat="1" ht="61.15" customHeight="1" x14ac:dyDescent="0.2">
      <c r="A467" s="1037">
        <f>A465+1</f>
        <v>2</v>
      </c>
      <c r="B467" s="965" t="s">
        <v>278</v>
      </c>
      <c r="C467" s="940" t="s">
        <v>466</v>
      </c>
      <c r="D467" s="984">
        <v>1.2210000000000001</v>
      </c>
      <c r="E467" s="1072">
        <v>13201</v>
      </c>
      <c r="F467" s="984">
        <v>1.2210000000000001</v>
      </c>
      <c r="G467" s="1073">
        <v>13201</v>
      </c>
      <c r="H467" s="995" t="s">
        <v>1211</v>
      </c>
      <c r="I467" s="995" t="s">
        <v>1210</v>
      </c>
      <c r="J467" s="161" t="s">
        <v>1358</v>
      </c>
      <c r="K467" s="892">
        <v>1</v>
      </c>
      <c r="L467" s="996" t="s">
        <v>8</v>
      </c>
      <c r="M467" s="1025">
        <v>86.538870000000003</v>
      </c>
      <c r="N467" s="1096"/>
      <c r="O467" s="1096"/>
      <c r="P467" s="1096"/>
      <c r="Q467" s="1096"/>
      <c r="R467" s="1096"/>
      <c r="S467" s="292"/>
      <c r="T467" s="1096"/>
      <c r="U467" s="1096"/>
      <c r="V467" s="1096"/>
      <c r="W467" s="126"/>
      <c r="X467" s="1096"/>
      <c r="Y467" s="1096"/>
      <c r="Z467" s="1086"/>
      <c r="AA467" s="1086"/>
      <c r="AB467" s="1086"/>
      <c r="AC467" s="1086"/>
      <c r="AD467" s="1086"/>
      <c r="AE467" s="1086"/>
      <c r="AF467" s="1086"/>
      <c r="AG467" s="1086"/>
      <c r="AH467" s="1086"/>
      <c r="AI467" s="1086"/>
      <c r="AJ467" s="1086"/>
      <c r="AK467" s="1086"/>
      <c r="AL467" s="1086"/>
      <c r="AM467" s="1086"/>
      <c r="AN467" s="1086"/>
      <c r="AO467" s="1086"/>
      <c r="AP467" s="1086"/>
      <c r="AQ467" s="1086"/>
      <c r="AR467" s="1086" t="s">
        <v>1363</v>
      </c>
    </row>
    <row r="468" spans="1:44" s="116" customFormat="1" ht="70.7" customHeight="1" x14ac:dyDescent="0.2">
      <c r="A468" s="888">
        <f>A467+1</f>
        <v>3</v>
      </c>
      <c r="B468" s="1169">
        <v>2242094</v>
      </c>
      <c r="C468" s="919" t="s">
        <v>55</v>
      </c>
      <c r="D468" s="975">
        <v>2.6360000000000001</v>
      </c>
      <c r="E468" s="130">
        <v>33537.1</v>
      </c>
      <c r="F468" s="975">
        <v>2.6360000000000001</v>
      </c>
      <c r="G468" s="1115">
        <v>33537.1</v>
      </c>
      <c r="H468" s="995" t="s">
        <v>1212</v>
      </c>
      <c r="I468" s="995" t="s">
        <v>1213</v>
      </c>
      <c r="J468" s="161" t="s">
        <v>1358</v>
      </c>
      <c r="K468" s="892">
        <v>8</v>
      </c>
      <c r="L468" s="996" t="s">
        <v>8</v>
      </c>
      <c r="M468" s="897">
        <v>30.77488</v>
      </c>
      <c r="N468" s="1096"/>
      <c r="O468" s="1096"/>
      <c r="P468" s="1096"/>
      <c r="Q468" s="1096"/>
      <c r="R468" s="1096"/>
      <c r="S468" s="292"/>
      <c r="T468" s="1096"/>
      <c r="U468" s="1096"/>
      <c r="V468" s="1096"/>
      <c r="W468" s="126"/>
      <c r="X468" s="1096"/>
      <c r="Y468" s="1096"/>
      <c r="Z468" s="1086"/>
      <c r="AA468" s="1086"/>
      <c r="AB468" s="1086"/>
      <c r="AC468" s="1086"/>
      <c r="AD468" s="1086"/>
      <c r="AE468" s="1086"/>
      <c r="AF468" s="1086"/>
      <c r="AG468" s="1086"/>
      <c r="AH468" s="1086"/>
      <c r="AI468" s="1086"/>
      <c r="AJ468" s="1086"/>
      <c r="AK468" s="1086"/>
      <c r="AL468" s="1086"/>
      <c r="AM468" s="1086"/>
      <c r="AN468" s="1086"/>
      <c r="AO468" s="1086"/>
      <c r="AP468" s="1086"/>
      <c r="AQ468" s="1086"/>
      <c r="AR468" s="1086" t="s">
        <v>1364</v>
      </c>
    </row>
    <row r="469" spans="1:44" s="116" customFormat="1" ht="78.400000000000006" customHeight="1" x14ac:dyDescent="0.2">
      <c r="A469" s="1037">
        <f>A468+1</f>
        <v>4</v>
      </c>
      <c r="B469" s="995" t="s">
        <v>315</v>
      </c>
      <c r="C469" s="993" t="s">
        <v>166</v>
      </c>
      <c r="D469" s="984">
        <v>1.903</v>
      </c>
      <c r="E469" s="986">
        <v>30064</v>
      </c>
      <c r="F469" s="984">
        <v>1.903</v>
      </c>
      <c r="G469" s="997">
        <v>30064</v>
      </c>
      <c r="H469" s="906" t="s">
        <v>1086</v>
      </c>
      <c r="I469" s="906" t="s">
        <v>1087</v>
      </c>
      <c r="J469" s="1086" t="s">
        <v>1065</v>
      </c>
      <c r="K469" s="906"/>
      <c r="L469" s="906"/>
      <c r="M469" s="897"/>
      <c r="N469" s="161"/>
      <c r="O469" s="161"/>
      <c r="P469" s="906"/>
      <c r="Q469" s="906"/>
      <c r="R469" s="906"/>
      <c r="S469" s="897"/>
      <c r="T469" s="1096"/>
      <c r="U469" s="1096"/>
      <c r="V469" s="1096"/>
      <c r="W469" s="126"/>
      <c r="X469" s="1096"/>
      <c r="Y469" s="1096"/>
      <c r="Z469" s="1086"/>
      <c r="AA469" s="1086"/>
      <c r="AB469" s="1086"/>
      <c r="AC469" s="1086"/>
      <c r="AD469" s="1086"/>
      <c r="AE469" s="1086"/>
      <c r="AF469" s="1086"/>
      <c r="AG469" s="1086"/>
      <c r="AH469" s="1086"/>
      <c r="AI469" s="1086"/>
      <c r="AJ469" s="1086"/>
      <c r="AK469" s="1086"/>
      <c r="AL469" s="1086"/>
      <c r="AM469" s="1086"/>
      <c r="AN469" s="1086"/>
      <c r="AO469" s="1086"/>
      <c r="AP469" s="1086"/>
      <c r="AQ469" s="1086"/>
      <c r="AR469" s="1086"/>
    </row>
    <row r="470" spans="1:44" s="116" customFormat="1" ht="144.6" customHeight="1" x14ac:dyDescent="0.2">
      <c r="A470" s="1037">
        <f>A469+1</f>
        <v>5</v>
      </c>
      <c r="B470" s="965" t="s">
        <v>717</v>
      </c>
      <c r="C470" s="940" t="s">
        <v>718</v>
      </c>
      <c r="D470" s="984">
        <v>1.5089999999999999</v>
      </c>
      <c r="E470" s="1072">
        <v>28145</v>
      </c>
      <c r="F470" s="984">
        <v>1.5089999999999999</v>
      </c>
      <c r="G470" s="1072">
        <v>28145</v>
      </c>
      <c r="H470" s="995" t="s">
        <v>1214</v>
      </c>
      <c r="I470" s="995" t="s">
        <v>1215</v>
      </c>
      <c r="J470" s="161" t="s">
        <v>1358</v>
      </c>
      <c r="K470" s="992">
        <v>1</v>
      </c>
      <c r="L470" s="996" t="s">
        <v>1031</v>
      </c>
      <c r="M470" s="939">
        <f>530-180</f>
        <v>350</v>
      </c>
      <c r="N470" s="906" t="s">
        <v>1214</v>
      </c>
      <c r="O470" s="906" t="s">
        <v>1216</v>
      </c>
      <c r="P470" s="161" t="s">
        <v>1358</v>
      </c>
      <c r="Q470" s="412">
        <v>1</v>
      </c>
      <c r="R470" s="1096" t="s">
        <v>8</v>
      </c>
      <c r="S470" s="898">
        <v>5004.4691999999995</v>
      </c>
      <c r="T470" s="1096"/>
      <c r="U470" s="1096"/>
      <c r="V470" s="1096"/>
      <c r="W470" s="126"/>
      <c r="X470" s="1096"/>
      <c r="Y470" s="1096"/>
      <c r="Z470" s="1086"/>
      <c r="AA470" s="1086"/>
      <c r="AB470" s="1086"/>
      <c r="AC470" s="1086"/>
      <c r="AD470" s="1086"/>
      <c r="AE470" s="1086"/>
      <c r="AF470" s="1086"/>
      <c r="AG470" s="1086"/>
      <c r="AH470" s="1086"/>
      <c r="AI470" s="1086"/>
      <c r="AJ470" s="1086"/>
      <c r="AK470" s="1086"/>
      <c r="AL470" s="1086"/>
      <c r="AM470" s="1086"/>
      <c r="AN470" s="1086"/>
      <c r="AO470" s="1086"/>
      <c r="AP470" s="1086"/>
      <c r="AQ470" s="1086"/>
      <c r="AR470" s="1086" t="s">
        <v>1365</v>
      </c>
    </row>
    <row r="471" spans="1:44" s="116" customFormat="1" ht="72.599999999999994" customHeight="1" x14ac:dyDescent="0.2">
      <c r="A471" s="1598">
        <f>A470+1</f>
        <v>6</v>
      </c>
      <c r="B471" s="1708">
        <v>2238264</v>
      </c>
      <c r="C471" s="1343" t="s">
        <v>54</v>
      </c>
      <c r="D471" s="1472">
        <v>3.4870000000000001</v>
      </c>
      <c r="E471" s="2350">
        <v>48133</v>
      </c>
      <c r="F471" s="1472">
        <v>3.4870000000000001</v>
      </c>
      <c r="G471" s="2311">
        <v>48133</v>
      </c>
      <c r="H471" s="906" t="s">
        <v>1218</v>
      </c>
      <c r="I471" s="906" t="s">
        <v>1217</v>
      </c>
      <c r="J471" s="1096" t="s">
        <v>1358</v>
      </c>
      <c r="K471" s="892">
        <v>1</v>
      </c>
      <c r="L471" s="996" t="s">
        <v>8</v>
      </c>
      <c r="M471" s="897">
        <v>504.56099999999998</v>
      </c>
      <c r="N471" s="1096"/>
      <c r="O471" s="1096"/>
      <c r="P471" s="996"/>
      <c r="Q471" s="996"/>
      <c r="R471" s="906"/>
      <c r="S471" s="898"/>
      <c r="T471" s="1096"/>
      <c r="U471" s="1096"/>
      <c r="V471" s="1096"/>
      <c r="W471" s="126"/>
      <c r="X471" s="1096"/>
      <c r="Y471" s="1096"/>
      <c r="Z471" s="1086"/>
      <c r="AA471" s="1086"/>
      <c r="AB471" s="1086"/>
      <c r="AC471" s="1086"/>
      <c r="AD471" s="1086"/>
      <c r="AE471" s="1086"/>
      <c r="AF471" s="1086"/>
      <c r="AG471" s="1086"/>
      <c r="AH471" s="1086"/>
      <c r="AI471" s="1086"/>
      <c r="AJ471" s="1086"/>
      <c r="AK471" s="1086"/>
      <c r="AL471" s="1086"/>
      <c r="AM471" s="1086"/>
      <c r="AN471" s="1086"/>
      <c r="AO471" s="1086"/>
      <c r="AP471" s="1086"/>
      <c r="AQ471" s="1086"/>
      <c r="AR471" s="1086" t="s">
        <v>1366</v>
      </c>
    </row>
    <row r="472" spans="1:44" s="116" customFormat="1" ht="29.65" customHeight="1" x14ac:dyDescent="0.2">
      <c r="A472" s="1241"/>
      <c r="B472" s="1710"/>
      <c r="C472" s="1273"/>
      <c r="D472" s="1473"/>
      <c r="E472" s="2351"/>
      <c r="F472" s="1473"/>
      <c r="G472" s="2312"/>
      <c r="H472" s="1069" t="s">
        <v>1088</v>
      </c>
      <c r="I472" s="1069" t="s">
        <v>1089</v>
      </c>
      <c r="J472" s="1096" t="s">
        <v>1022</v>
      </c>
      <c r="K472" s="992">
        <v>1</v>
      </c>
      <c r="L472" s="996" t="s">
        <v>8</v>
      </c>
      <c r="M472" s="939">
        <v>292.70280000000002</v>
      </c>
      <c r="N472" s="232"/>
      <c r="O472" s="232"/>
      <c r="P472" s="1069"/>
      <c r="Q472" s="996"/>
      <c r="R472" s="996"/>
      <c r="S472" s="939"/>
      <c r="T472" s="1096"/>
      <c r="U472" s="1096"/>
      <c r="V472" s="1096"/>
      <c r="W472" s="126"/>
      <c r="X472" s="1096"/>
      <c r="Y472" s="1096"/>
      <c r="Z472" s="1086"/>
      <c r="AA472" s="1086"/>
      <c r="AB472" s="1086"/>
      <c r="AC472" s="1086"/>
      <c r="AD472" s="1086"/>
      <c r="AE472" s="1086"/>
      <c r="AF472" s="1086"/>
      <c r="AG472" s="1086"/>
      <c r="AH472" s="1086"/>
      <c r="AI472" s="1086"/>
      <c r="AJ472" s="1086"/>
      <c r="AK472" s="1086"/>
      <c r="AL472" s="1086"/>
      <c r="AM472" s="1086"/>
      <c r="AN472" s="1086"/>
      <c r="AO472" s="1086"/>
      <c r="AP472" s="1086"/>
      <c r="AQ472" s="1086"/>
      <c r="AR472" s="1086"/>
    </row>
    <row r="473" spans="1:44" s="116" customFormat="1" ht="22.5" customHeight="1" x14ac:dyDescent="0.2">
      <c r="A473" s="1598">
        <f>A471+1</f>
        <v>7</v>
      </c>
      <c r="B473" s="1827" t="s">
        <v>332</v>
      </c>
      <c r="C473" s="1389" t="s">
        <v>185</v>
      </c>
      <c r="D473" s="1374">
        <v>10.994999999999999</v>
      </c>
      <c r="E473" s="1470">
        <v>146615</v>
      </c>
      <c r="F473" s="1374">
        <v>10.994999999999999</v>
      </c>
      <c r="G473" s="1558">
        <v>146615</v>
      </c>
      <c r="H473" s="1374" t="s">
        <v>1090</v>
      </c>
      <c r="I473" s="1374" t="s">
        <v>1188</v>
      </c>
      <c r="J473" s="161" t="s">
        <v>1019</v>
      </c>
      <c r="K473" s="992">
        <v>2</v>
      </c>
      <c r="L473" s="996" t="s">
        <v>8</v>
      </c>
      <c r="M473" s="1334">
        <v>46.398809999999997</v>
      </c>
      <c r="N473" s="2264"/>
      <c r="O473" s="2264"/>
      <c r="P473" s="1374"/>
      <c r="Q473" s="1374"/>
      <c r="R473" s="1374"/>
      <c r="S473" s="1380"/>
      <c r="T473" s="1096"/>
      <c r="U473" s="1096"/>
      <c r="V473" s="1096"/>
      <c r="W473" s="126"/>
      <c r="X473" s="1096"/>
      <c r="Y473" s="1096"/>
      <c r="Z473" s="1086"/>
      <c r="AA473" s="1086"/>
      <c r="AB473" s="1086"/>
      <c r="AC473" s="1086"/>
      <c r="AD473" s="1086"/>
      <c r="AE473" s="1086"/>
      <c r="AF473" s="1086"/>
      <c r="AG473" s="1086"/>
      <c r="AH473" s="1086"/>
      <c r="AI473" s="1086"/>
      <c r="AJ473" s="1086"/>
      <c r="AK473" s="1086"/>
      <c r="AL473" s="1086"/>
      <c r="AM473" s="1086"/>
      <c r="AN473" s="1086"/>
      <c r="AO473" s="1086"/>
      <c r="AP473" s="1086"/>
      <c r="AQ473" s="1086"/>
      <c r="AR473" s="2010" t="s">
        <v>1187</v>
      </c>
    </row>
    <row r="474" spans="1:44" s="116" customFormat="1" ht="22.5" customHeight="1" x14ac:dyDescent="0.2">
      <c r="A474" s="1263"/>
      <c r="B474" s="2106"/>
      <c r="C474" s="1633"/>
      <c r="D474" s="1576"/>
      <c r="E474" s="1557"/>
      <c r="F474" s="1576"/>
      <c r="G474" s="1559"/>
      <c r="H474" s="1375"/>
      <c r="I474" s="1375"/>
      <c r="J474" s="161" t="s">
        <v>1020</v>
      </c>
      <c r="K474" s="992">
        <v>10</v>
      </c>
      <c r="L474" s="996" t="s">
        <v>3</v>
      </c>
      <c r="M474" s="1334"/>
      <c r="N474" s="2265"/>
      <c r="O474" s="2265"/>
      <c r="P474" s="1375"/>
      <c r="Q474" s="1375"/>
      <c r="R474" s="1375"/>
      <c r="S474" s="1335"/>
      <c r="T474" s="1096"/>
      <c r="U474" s="1096"/>
      <c r="V474" s="1096"/>
      <c r="W474" s="126"/>
      <c r="X474" s="1096"/>
      <c r="Y474" s="1096"/>
      <c r="Z474" s="1086"/>
      <c r="AA474" s="1086"/>
      <c r="AB474" s="1086"/>
      <c r="AC474" s="1086"/>
      <c r="AD474" s="1086"/>
      <c r="AE474" s="1086"/>
      <c r="AF474" s="1086"/>
      <c r="AG474" s="1086"/>
      <c r="AH474" s="1086"/>
      <c r="AI474" s="1086"/>
      <c r="AJ474" s="1086"/>
      <c r="AK474" s="1086"/>
      <c r="AL474" s="1086"/>
      <c r="AM474" s="1086"/>
      <c r="AN474" s="1086"/>
      <c r="AO474" s="1086"/>
      <c r="AP474" s="1086"/>
      <c r="AQ474" s="1086"/>
      <c r="AR474" s="2280"/>
    </row>
    <row r="475" spans="1:44" s="116" customFormat="1" ht="88.7" customHeight="1" x14ac:dyDescent="0.2">
      <c r="A475" s="1263"/>
      <c r="B475" s="2106"/>
      <c r="C475" s="1633"/>
      <c r="D475" s="1576"/>
      <c r="E475" s="1557"/>
      <c r="F475" s="1576"/>
      <c r="G475" s="1559"/>
      <c r="H475" s="1096"/>
      <c r="I475" s="1096"/>
      <c r="J475" s="1096"/>
      <c r="K475" s="992"/>
      <c r="L475" s="996"/>
      <c r="M475" s="466"/>
      <c r="N475" s="161" t="s">
        <v>1219</v>
      </c>
      <c r="O475" s="161" t="s">
        <v>1219</v>
      </c>
      <c r="P475" s="1012" t="s">
        <v>1358</v>
      </c>
      <c r="Q475" s="992">
        <v>1</v>
      </c>
      <c r="R475" s="996" t="s">
        <v>8</v>
      </c>
      <c r="S475" s="897">
        <v>200</v>
      </c>
      <c r="T475" s="161" t="s">
        <v>1231</v>
      </c>
      <c r="U475" s="161" t="s">
        <v>1219</v>
      </c>
      <c r="V475" s="1012" t="s">
        <v>1062</v>
      </c>
      <c r="W475" s="992">
        <v>1</v>
      </c>
      <c r="X475" s="996" t="s">
        <v>8</v>
      </c>
      <c r="Y475" s="897">
        <v>750</v>
      </c>
      <c r="Z475" s="1086"/>
      <c r="AA475" s="1086"/>
      <c r="AB475" s="1086"/>
      <c r="AC475" s="1086"/>
      <c r="AD475" s="1086"/>
      <c r="AE475" s="1086"/>
      <c r="AF475" s="1086"/>
      <c r="AG475" s="1086"/>
      <c r="AH475" s="1086"/>
      <c r="AI475" s="1086"/>
      <c r="AJ475" s="1086"/>
      <c r="AK475" s="1086"/>
      <c r="AL475" s="1086"/>
      <c r="AM475" s="1086"/>
      <c r="AN475" s="1086"/>
      <c r="AO475" s="1086"/>
      <c r="AP475" s="1086"/>
      <c r="AQ475" s="1086"/>
      <c r="AR475" s="1086" t="s">
        <v>1373</v>
      </c>
    </row>
    <row r="476" spans="1:44" s="116" customFormat="1" ht="86.1" customHeight="1" x14ac:dyDescent="0.2">
      <c r="A476" s="1241"/>
      <c r="B476" s="1828"/>
      <c r="C476" s="1390"/>
      <c r="D476" s="1375"/>
      <c r="E476" s="1471"/>
      <c r="F476" s="1375"/>
      <c r="G476" s="1271"/>
      <c r="H476" s="1096"/>
      <c r="I476" s="1096"/>
      <c r="J476" s="1096"/>
      <c r="K476" s="992"/>
      <c r="L476" s="996"/>
      <c r="M476" s="466"/>
      <c r="N476" s="161" t="s">
        <v>1220</v>
      </c>
      <c r="O476" s="161" t="s">
        <v>1221</v>
      </c>
      <c r="P476" s="1012" t="s">
        <v>1358</v>
      </c>
      <c r="Q476" s="992">
        <v>1</v>
      </c>
      <c r="R476" s="996" t="s">
        <v>8</v>
      </c>
      <c r="S476" s="897">
        <v>87.402199999999993</v>
      </c>
      <c r="T476" s="1096"/>
      <c r="U476" s="1096"/>
      <c r="V476" s="1012"/>
      <c r="W476" s="992"/>
      <c r="X476" s="996"/>
      <c r="Y476" s="898"/>
      <c r="Z476" s="1086"/>
      <c r="AA476" s="1086"/>
      <c r="AB476" s="1086"/>
      <c r="AC476" s="1086"/>
      <c r="AD476" s="1086"/>
      <c r="AE476" s="1086"/>
      <c r="AF476" s="1086"/>
      <c r="AG476" s="1086"/>
      <c r="AH476" s="1086"/>
      <c r="AI476" s="1086"/>
      <c r="AJ476" s="1086"/>
      <c r="AK476" s="1086"/>
      <c r="AL476" s="1086"/>
      <c r="AM476" s="1086"/>
      <c r="AN476" s="1086"/>
      <c r="AO476" s="1086"/>
      <c r="AP476" s="1086"/>
      <c r="AQ476" s="1086"/>
      <c r="AR476" s="1086" t="s">
        <v>1372</v>
      </c>
    </row>
    <row r="477" spans="1:44" s="116" customFormat="1" ht="40.5" customHeight="1" x14ac:dyDescent="0.2">
      <c r="A477" s="1598">
        <f>A473+1</f>
        <v>8</v>
      </c>
      <c r="B477" s="1903" t="s">
        <v>738</v>
      </c>
      <c r="C477" s="1823" t="s">
        <v>739</v>
      </c>
      <c r="D477" s="1580">
        <v>1.794</v>
      </c>
      <c r="E477" s="2315">
        <v>21206</v>
      </c>
      <c r="F477" s="1580">
        <v>1.794</v>
      </c>
      <c r="G477" s="2306">
        <v>21206</v>
      </c>
      <c r="H477" s="996" t="s">
        <v>1092</v>
      </c>
      <c r="I477" s="996" t="s">
        <v>1093</v>
      </c>
      <c r="J477" s="1096" t="s">
        <v>1032</v>
      </c>
      <c r="K477" s="992">
        <v>1</v>
      </c>
      <c r="L477" s="996" t="s">
        <v>8</v>
      </c>
      <c r="M477" s="898">
        <v>61.862990000000003</v>
      </c>
      <c r="N477" s="1096"/>
      <c r="O477" s="1096"/>
      <c r="P477" s="1096"/>
      <c r="Q477" s="1096"/>
      <c r="R477" s="1096"/>
      <c r="S477" s="292"/>
      <c r="T477" s="1096"/>
      <c r="U477" s="1096"/>
      <c r="V477" s="1096"/>
      <c r="W477" s="126"/>
      <c r="X477" s="1096"/>
      <c r="Y477" s="1096"/>
      <c r="Z477" s="1086"/>
      <c r="AA477" s="1086"/>
      <c r="AB477" s="1086"/>
      <c r="AC477" s="1086"/>
      <c r="AD477" s="1086"/>
      <c r="AE477" s="1086"/>
      <c r="AF477" s="1086"/>
      <c r="AG477" s="1086"/>
      <c r="AH477" s="1086"/>
      <c r="AI477" s="1086"/>
      <c r="AJ477" s="1086"/>
      <c r="AK477" s="1086"/>
      <c r="AL477" s="1086"/>
      <c r="AM477" s="1086"/>
      <c r="AN477" s="1086"/>
      <c r="AO477" s="1086"/>
      <c r="AP477" s="1086"/>
      <c r="AQ477" s="1086"/>
      <c r="AR477" s="1086"/>
    </row>
    <row r="478" spans="1:44" s="116" customFormat="1" ht="90" customHeight="1" x14ac:dyDescent="0.2">
      <c r="A478" s="1263"/>
      <c r="B478" s="1904"/>
      <c r="C478" s="1824"/>
      <c r="D478" s="1581"/>
      <c r="E478" s="2316"/>
      <c r="F478" s="1581"/>
      <c r="G478" s="2307"/>
      <c r="H478" s="161"/>
      <c r="I478" s="161"/>
      <c r="J478" s="1096"/>
      <c r="K478" s="992"/>
      <c r="L478" s="996"/>
      <c r="M478" s="898"/>
      <c r="N478" s="2264" t="s">
        <v>1222</v>
      </c>
      <c r="O478" s="2264" t="s">
        <v>1223</v>
      </c>
      <c r="P478" s="1012" t="s">
        <v>1358</v>
      </c>
      <c r="Q478" s="992">
        <v>1</v>
      </c>
      <c r="R478" s="996" t="s">
        <v>8</v>
      </c>
      <c r="S478" s="292">
        <v>95.5</v>
      </c>
      <c r="T478" s="1096"/>
      <c r="U478" s="1096"/>
      <c r="V478" s="1096"/>
      <c r="W478" s="126"/>
      <c r="X478" s="1096"/>
      <c r="Y478" s="1096"/>
      <c r="Z478" s="1086"/>
      <c r="AA478" s="1086"/>
      <c r="AB478" s="1086"/>
      <c r="AC478" s="1086"/>
      <c r="AD478" s="1086"/>
      <c r="AE478" s="1086"/>
      <c r="AF478" s="1086"/>
      <c r="AG478" s="1086"/>
      <c r="AH478" s="1086"/>
      <c r="AI478" s="1086"/>
      <c r="AJ478" s="1086"/>
      <c r="AK478" s="1086"/>
      <c r="AL478" s="1086"/>
      <c r="AM478" s="1086"/>
      <c r="AN478" s="1086"/>
      <c r="AO478" s="1086"/>
      <c r="AP478" s="1086"/>
      <c r="AQ478" s="1086"/>
      <c r="AR478" s="2010" t="s">
        <v>1371</v>
      </c>
    </row>
    <row r="479" spans="1:44" s="116" customFormat="1" ht="41.85" customHeight="1" x14ac:dyDescent="0.2">
      <c r="A479" s="1241"/>
      <c r="B479" s="1905"/>
      <c r="C479" s="1825"/>
      <c r="D479" s="1582"/>
      <c r="E479" s="2317"/>
      <c r="F479" s="1582"/>
      <c r="G479" s="2308"/>
      <c r="H479" s="1096"/>
      <c r="I479" s="1096"/>
      <c r="J479" s="1096"/>
      <c r="K479" s="992"/>
      <c r="L479" s="996"/>
      <c r="M479" s="898"/>
      <c r="N479" s="2265"/>
      <c r="O479" s="2265"/>
      <c r="P479" s="1096" t="s">
        <v>1032</v>
      </c>
      <c r="Q479" s="992">
        <v>1</v>
      </c>
      <c r="R479" s="996" t="s">
        <v>8</v>
      </c>
      <c r="S479" s="292">
        <v>597.67600000000004</v>
      </c>
      <c r="T479" s="1096"/>
      <c r="U479" s="1096"/>
      <c r="V479" s="1096"/>
      <c r="W479" s="126"/>
      <c r="X479" s="1096"/>
      <c r="Y479" s="1096"/>
      <c r="Z479" s="1086"/>
      <c r="AA479" s="1086"/>
      <c r="AB479" s="1086"/>
      <c r="AC479" s="1086"/>
      <c r="AD479" s="1086"/>
      <c r="AE479" s="1086"/>
      <c r="AF479" s="1086"/>
      <c r="AG479" s="1086"/>
      <c r="AH479" s="1086"/>
      <c r="AI479" s="1086"/>
      <c r="AJ479" s="1086"/>
      <c r="AK479" s="1086"/>
      <c r="AL479" s="1086"/>
      <c r="AM479" s="1086"/>
      <c r="AN479" s="1086"/>
      <c r="AO479" s="1086"/>
      <c r="AP479" s="1086"/>
      <c r="AQ479" s="1086"/>
      <c r="AR479" s="2280"/>
    </row>
    <row r="480" spans="1:44" s="116" customFormat="1" ht="82.35" customHeight="1" x14ac:dyDescent="0.2">
      <c r="A480" s="888">
        <v>9</v>
      </c>
      <c r="B480" s="911">
        <v>2239170</v>
      </c>
      <c r="C480" s="968" t="s">
        <v>1063</v>
      </c>
      <c r="D480" s="985">
        <v>0.98</v>
      </c>
      <c r="E480" s="1008">
        <v>9408</v>
      </c>
      <c r="F480" s="985">
        <v>0.98</v>
      </c>
      <c r="G480" s="1008">
        <v>9408</v>
      </c>
      <c r="H480" s="1096"/>
      <c r="I480" s="1096"/>
      <c r="J480" s="911"/>
      <c r="K480" s="970"/>
      <c r="L480" s="996"/>
      <c r="M480" s="898"/>
      <c r="N480" s="906" t="s">
        <v>1224</v>
      </c>
      <c r="O480" s="906" t="s">
        <v>1209</v>
      </c>
      <c r="P480" s="996" t="s">
        <v>1358</v>
      </c>
      <c r="Q480" s="970">
        <v>260</v>
      </c>
      <c r="R480" s="996" t="s">
        <v>994</v>
      </c>
      <c r="S480" s="898">
        <v>691.91759999999999</v>
      </c>
      <c r="T480" s="1096"/>
      <c r="U480" s="1096"/>
      <c r="V480" s="1096"/>
      <c r="W480" s="126"/>
      <c r="X480" s="1096"/>
      <c r="Y480" s="1096"/>
      <c r="Z480" s="1086"/>
      <c r="AA480" s="1086"/>
      <c r="AB480" s="1086"/>
      <c r="AC480" s="1086"/>
      <c r="AD480" s="1086"/>
      <c r="AE480" s="1086"/>
      <c r="AF480" s="1086"/>
      <c r="AG480" s="1086"/>
      <c r="AH480" s="1086"/>
      <c r="AI480" s="1086"/>
      <c r="AJ480" s="1086"/>
      <c r="AK480" s="1086"/>
      <c r="AL480" s="1086"/>
      <c r="AM480" s="1086"/>
      <c r="AN480" s="1086"/>
      <c r="AO480" s="1086"/>
      <c r="AP480" s="1086"/>
      <c r="AQ480" s="1086"/>
      <c r="AR480" s="1086" t="s">
        <v>1370</v>
      </c>
    </row>
    <row r="481" spans="1:44" s="116" customFormat="1" ht="87.4" customHeight="1" x14ac:dyDescent="0.2">
      <c r="A481" s="888">
        <v>10</v>
      </c>
      <c r="B481" s="911">
        <v>2241882</v>
      </c>
      <c r="C481" s="968" t="s">
        <v>716</v>
      </c>
      <c r="D481" s="985">
        <v>0.84299999999999997</v>
      </c>
      <c r="E481" s="1008">
        <v>15838</v>
      </c>
      <c r="F481" s="985">
        <v>0.84299999999999997</v>
      </c>
      <c r="G481" s="1008">
        <v>15838</v>
      </c>
      <c r="H481" s="1096"/>
      <c r="I481" s="1096"/>
      <c r="J481" s="911"/>
      <c r="K481" s="970"/>
      <c r="L481" s="996"/>
      <c r="M481" s="898"/>
      <c r="N481" s="906" t="s">
        <v>1225</v>
      </c>
      <c r="O481" s="906" t="s">
        <v>1226</v>
      </c>
      <c r="P481" s="996" t="s">
        <v>1358</v>
      </c>
      <c r="Q481" s="970">
        <v>50</v>
      </c>
      <c r="R481" s="996" t="s">
        <v>994</v>
      </c>
      <c r="S481" s="898">
        <v>37.062449999999998</v>
      </c>
      <c r="T481" s="1096"/>
      <c r="U481" s="1096"/>
      <c r="V481" s="1096"/>
      <c r="W481" s="126"/>
      <c r="X481" s="1096"/>
      <c r="Y481" s="1096"/>
      <c r="Z481" s="1086"/>
      <c r="AA481" s="1086"/>
      <c r="AB481" s="1086"/>
      <c r="AC481" s="1086"/>
      <c r="AD481" s="1086"/>
      <c r="AE481" s="1086"/>
      <c r="AF481" s="1086"/>
      <c r="AG481" s="1086"/>
      <c r="AH481" s="1086"/>
      <c r="AI481" s="1086"/>
      <c r="AJ481" s="1086"/>
      <c r="AK481" s="1086"/>
      <c r="AL481" s="1086"/>
      <c r="AM481" s="1086"/>
      <c r="AN481" s="1086"/>
      <c r="AO481" s="1086"/>
      <c r="AP481" s="1086"/>
      <c r="AQ481" s="1086"/>
      <c r="AR481" s="1086" t="s">
        <v>1369</v>
      </c>
    </row>
    <row r="482" spans="1:44" s="116" customFormat="1" ht="100.35" customHeight="1" x14ac:dyDescent="0.2">
      <c r="A482" s="888">
        <v>11</v>
      </c>
      <c r="B482" s="880">
        <v>2238840</v>
      </c>
      <c r="C482" s="1047" t="s">
        <v>1064</v>
      </c>
      <c r="D482" s="985">
        <v>2.48</v>
      </c>
      <c r="E482" s="1008">
        <v>29484</v>
      </c>
      <c r="F482" s="985">
        <v>2.48</v>
      </c>
      <c r="G482" s="1008">
        <v>29484</v>
      </c>
      <c r="H482" s="1096"/>
      <c r="I482" s="1096"/>
      <c r="J482" s="911"/>
      <c r="K482" s="970"/>
      <c r="L482" s="996"/>
      <c r="M482" s="898"/>
      <c r="N482" s="906" t="s">
        <v>1227</v>
      </c>
      <c r="O482" s="906" t="s">
        <v>1228</v>
      </c>
      <c r="P482" s="1012" t="s">
        <v>1358</v>
      </c>
      <c r="Q482" s="992">
        <v>1</v>
      </c>
      <c r="R482" s="996" t="s">
        <v>8</v>
      </c>
      <c r="S482" s="898">
        <v>200</v>
      </c>
      <c r="T482" s="906" t="s">
        <v>1227</v>
      </c>
      <c r="U482" s="906" t="s">
        <v>1228</v>
      </c>
      <c r="V482" s="1012" t="s">
        <v>1062</v>
      </c>
      <c r="W482" s="992">
        <v>1</v>
      </c>
      <c r="X482" s="996" t="s">
        <v>8</v>
      </c>
      <c r="Y482" s="897">
        <v>1000</v>
      </c>
      <c r="Z482" s="1086"/>
      <c r="AA482" s="1086"/>
      <c r="AB482" s="1086"/>
      <c r="AC482" s="1086"/>
      <c r="AD482" s="1086"/>
      <c r="AE482" s="1086"/>
      <c r="AF482" s="1086"/>
      <c r="AG482" s="1086"/>
      <c r="AH482" s="1086"/>
      <c r="AI482" s="1086"/>
      <c r="AJ482" s="1086"/>
      <c r="AK482" s="1086"/>
      <c r="AL482" s="1086"/>
      <c r="AM482" s="1086"/>
      <c r="AN482" s="1086"/>
      <c r="AO482" s="1086"/>
      <c r="AP482" s="1086"/>
      <c r="AQ482" s="1086"/>
      <c r="AR482" s="1086" t="s">
        <v>1368</v>
      </c>
    </row>
    <row r="483" spans="1:44" s="116" customFormat="1" ht="85.5" customHeight="1" x14ac:dyDescent="0.2">
      <c r="A483" s="888">
        <v>12</v>
      </c>
      <c r="B483" s="878">
        <v>3413610</v>
      </c>
      <c r="C483" s="460" t="s">
        <v>168</v>
      </c>
      <c r="D483" s="985">
        <v>4.3369999999999997</v>
      </c>
      <c r="E483" s="1008">
        <v>64370</v>
      </c>
      <c r="F483" s="985">
        <v>4.3369999999999997</v>
      </c>
      <c r="G483" s="1008">
        <v>64370</v>
      </c>
      <c r="H483" s="1096"/>
      <c r="I483" s="1096"/>
      <c r="J483" s="911"/>
      <c r="K483" s="970"/>
      <c r="L483" s="996"/>
      <c r="M483" s="898"/>
      <c r="N483" s="996" t="s">
        <v>1230</v>
      </c>
      <c r="O483" s="996" t="s">
        <v>1229</v>
      </c>
      <c r="P483" s="906" t="s">
        <v>1358</v>
      </c>
      <c r="Q483" s="992">
        <v>1</v>
      </c>
      <c r="R483" s="996" t="s">
        <v>8</v>
      </c>
      <c r="S483" s="897">
        <v>1485.1830399999999</v>
      </c>
      <c r="T483" s="1096"/>
      <c r="U483" s="1096"/>
      <c r="V483" s="1096"/>
      <c r="W483" s="126"/>
      <c r="X483" s="1096"/>
      <c r="Y483" s="1096"/>
      <c r="Z483" s="1086"/>
      <c r="AA483" s="1086"/>
      <c r="AB483" s="1086"/>
      <c r="AC483" s="1086"/>
      <c r="AD483" s="1086"/>
      <c r="AE483" s="1086"/>
      <c r="AF483" s="1086"/>
      <c r="AG483" s="1086"/>
      <c r="AH483" s="1086"/>
      <c r="AI483" s="1086"/>
      <c r="AJ483" s="1086"/>
      <c r="AK483" s="1086"/>
      <c r="AL483" s="1086"/>
      <c r="AM483" s="1086"/>
      <c r="AN483" s="1086"/>
      <c r="AO483" s="1086"/>
      <c r="AP483" s="1086"/>
      <c r="AQ483" s="1086"/>
      <c r="AR483" s="1086" t="s">
        <v>1367</v>
      </c>
    </row>
    <row r="484" spans="1:44" s="117" customFormat="1" ht="28.35" customHeight="1" x14ac:dyDescent="0.25">
      <c r="A484" s="342"/>
      <c r="B484" s="343"/>
      <c r="C484" s="344" t="s">
        <v>1025</v>
      </c>
      <c r="D484" s="345">
        <f>SUM(D488:D667)+0.001</f>
        <v>93.317300000000017</v>
      </c>
      <c r="E484" s="346">
        <f>SUM(E488:E667)</f>
        <v>652591.9600000002</v>
      </c>
      <c r="F484" s="345">
        <f>SUM(F488:F667)+0.001</f>
        <v>93.317300000000017</v>
      </c>
      <c r="G484" s="346">
        <f>SUM(G488:G667)</f>
        <v>652591.9600000002</v>
      </c>
      <c r="H484" s="345"/>
      <c r="I484" s="345"/>
      <c r="J484" s="345"/>
      <c r="K484" s="345">
        <f>K488+K502+K508+K514+K518+K520+K522+K524+K530+K532+K534+K536</f>
        <v>11.329000000000001</v>
      </c>
      <c r="L484" s="345"/>
      <c r="M484" s="347">
        <f>M488+M502+M508+M514+M516+M518+M520+M522+M524+M530+M532+M534+M536</f>
        <v>136763.45837000001</v>
      </c>
      <c r="N484" s="327"/>
      <c r="O484" s="63"/>
      <c r="P484" s="63"/>
      <c r="Q484" s="63">
        <f>Q538+Q541+Q584+Q586+Q588+Q590+Q592+Q594+Q596+Q598+Q603+Q605+Q490+Q510+Q526+Q548+Q559+Q570+Q573+Q516+Q579+Q495+Q545</f>
        <v>6.3920000000000003</v>
      </c>
      <c r="R484" s="63"/>
      <c r="S484" s="328">
        <f>S490+S492+S493+S494+S510+S512+S513+S516+S526+S528+S529+S538+S540+S541+S543+S544+S548+S550+S551+S559+S561+S562+S570+S572+S573+S575+S576+S577+S578+S579+S581+S582+S583+S495+S497++S545</f>
        <v>143561.78552000003</v>
      </c>
      <c r="T484" s="152"/>
      <c r="U484" s="152"/>
      <c r="V484" s="152"/>
      <c r="W484" s="152">
        <f>W516+W584+W586+W588+W590+W592+W594+W596+W598+W603+W605+W607+W504+W552+W563+W615+W619+W566+W555</f>
        <v>6.1329999999999991</v>
      </c>
      <c r="X484" s="152"/>
      <c r="Y484" s="328">
        <f>Y498+Y499+Y504+Y506+Y507+Y516+Y547+Y552+Y554+Y555+Y557+Y558+Y563+Y565+Y566+Y568+Y569+Y598+Y600+Y601+Y602+Y615+Y617+Y618+Y619+Y621+Y622+Y623+Y790+Y791+Y792+Y793</f>
        <v>108565.64520000004</v>
      </c>
      <c r="Z484" s="152"/>
      <c r="AA484" s="152"/>
      <c r="AB484" s="152"/>
      <c r="AC484" s="63">
        <f>AC609+AC611+AC613+AC615+AC619+AC623+AC516+AC598</f>
        <v>2.62</v>
      </c>
      <c r="AD484" s="63"/>
      <c r="AE484" s="328">
        <f>AE516+AE609+AE611+AE613+AE615+AE623+AE619+AE598</f>
        <v>43547.55169</v>
      </c>
      <c r="AF484" s="152"/>
      <c r="AG484" s="152"/>
      <c r="AH484" s="152"/>
      <c r="AI484" s="152">
        <f>AI500</f>
        <v>2.37</v>
      </c>
      <c r="AJ484" s="152"/>
      <c r="AK484" s="152">
        <f>AK500</f>
        <v>52631.578999999998</v>
      </c>
      <c r="AL484" s="152"/>
      <c r="AM484" s="152"/>
      <c r="AN484" s="152"/>
      <c r="AO484" s="152">
        <v>2.37</v>
      </c>
      <c r="AP484" s="152"/>
      <c r="AQ484" s="152">
        <v>52631.578999999998</v>
      </c>
      <c r="AR484" s="152"/>
    </row>
    <row r="485" spans="1:44" s="117" customFormat="1" ht="28.35" customHeight="1" x14ac:dyDescent="0.25">
      <c r="A485" s="597"/>
      <c r="B485" s="598"/>
      <c r="C485" s="1245" t="s">
        <v>1075</v>
      </c>
      <c r="D485" s="1245"/>
      <c r="E485" s="1245"/>
      <c r="F485" s="656"/>
      <c r="G485" s="657"/>
      <c r="H485" s="599"/>
      <c r="I485" s="600"/>
      <c r="J485" s="601"/>
      <c r="K485" s="599"/>
      <c r="L485" s="599"/>
      <c r="M485" s="602"/>
      <c r="N485" s="603"/>
      <c r="O485" s="63"/>
      <c r="P485" s="63"/>
      <c r="Q485" s="63"/>
      <c r="R485" s="63"/>
      <c r="S485" s="328"/>
      <c r="T485" s="152"/>
      <c r="U485" s="152"/>
      <c r="V485" s="152"/>
      <c r="W485" s="152"/>
      <c r="X485" s="152"/>
      <c r="Y485" s="208"/>
      <c r="Z485" s="152"/>
      <c r="AA485" s="152"/>
      <c r="AB485" s="152"/>
      <c r="AC485" s="152"/>
      <c r="AD485" s="152"/>
      <c r="AE485" s="208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</row>
    <row r="486" spans="1:44" s="117" customFormat="1" ht="28.35" customHeight="1" x14ac:dyDescent="0.25">
      <c r="A486" s="597"/>
      <c r="B486" s="598"/>
      <c r="C486" s="1245" t="s">
        <v>1077</v>
      </c>
      <c r="D486" s="1245"/>
      <c r="E486" s="1245"/>
      <c r="F486" s="656"/>
      <c r="G486" s="657"/>
      <c r="H486" s="599"/>
      <c r="I486" s="600"/>
      <c r="J486" s="601"/>
      <c r="K486" s="599"/>
      <c r="L486" s="599"/>
      <c r="M486" s="602"/>
      <c r="N486" s="603"/>
      <c r="O486" s="63"/>
      <c r="P486" s="63"/>
      <c r="Q486" s="63"/>
      <c r="R486" s="63"/>
      <c r="S486" s="957">
        <f>S484-S487</f>
        <v>142355.48114000005</v>
      </c>
      <c r="T486" s="152"/>
      <c r="U486" s="152"/>
      <c r="V486" s="152"/>
      <c r="W486" s="152"/>
      <c r="X486" s="152"/>
      <c r="Y486" s="957">
        <f>Y484-Y487</f>
        <v>107308.67604000005</v>
      </c>
      <c r="Z486" s="152"/>
      <c r="AA486" s="152"/>
      <c r="AB486" s="152"/>
      <c r="AC486" s="152"/>
      <c r="AD486" s="152"/>
      <c r="AE486" s="957">
        <f>AE484-AE487</f>
        <v>42707.482300000003</v>
      </c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</row>
    <row r="487" spans="1:44" s="117" customFormat="1" ht="28.35" customHeight="1" thickBot="1" x14ac:dyDescent="0.3">
      <c r="A487" s="597"/>
      <c r="B487" s="598"/>
      <c r="C487" s="1245" t="s">
        <v>1076</v>
      </c>
      <c r="D487" s="1245"/>
      <c r="E487" s="1245"/>
      <c r="F487" s="656"/>
      <c r="G487" s="657"/>
      <c r="H487" s="599"/>
      <c r="I487" s="600"/>
      <c r="J487" s="601"/>
      <c r="K487" s="599"/>
      <c r="L487" s="599"/>
      <c r="M487" s="602"/>
      <c r="N487" s="603"/>
      <c r="O487" s="63"/>
      <c r="P487" s="63"/>
      <c r="Q487" s="63"/>
      <c r="R487" s="63"/>
      <c r="S487" s="978">
        <f>S516</f>
        <v>1206.30438</v>
      </c>
      <c r="T487" s="152"/>
      <c r="U487" s="152"/>
      <c r="V487" s="152"/>
      <c r="W487" s="152"/>
      <c r="X487" s="152"/>
      <c r="Y487" s="957">
        <f>Y516</f>
        <v>1256.9691600000001</v>
      </c>
      <c r="Z487" s="152"/>
      <c r="AA487" s="152"/>
      <c r="AB487" s="152"/>
      <c r="AC487" s="152"/>
      <c r="AD487" s="152"/>
      <c r="AE487" s="957">
        <f>AE516</f>
        <v>840.06939</v>
      </c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</row>
    <row r="488" spans="1:44" s="312" customFormat="1" ht="25.15" customHeight="1" x14ac:dyDescent="0.25">
      <c r="A488" s="1363">
        <v>1</v>
      </c>
      <c r="B488" s="1584">
        <v>2242146</v>
      </c>
      <c r="C488" s="2249" t="s">
        <v>70</v>
      </c>
      <c r="D488" s="2155">
        <v>6.63</v>
      </c>
      <c r="E488" s="2251">
        <v>97914</v>
      </c>
      <c r="F488" s="1472">
        <v>6.63</v>
      </c>
      <c r="G488" s="2369">
        <v>97914</v>
      </c>
      <c r="H488" s="1221" t="s">
        <v>1094</v>
      </c>
      <c r="I488" s="2169" t="s">
        <v>1095</v>
      </c>
      <c r="J488" s="1634" t="s">
        <v>43</v>
      </c>
      <c r="K488" s="544">
        <v>1.31</v>
      </c>
      <c r="L488" s="927" t="s">
        <v>2</v>
      </c>
      <c r="M488" s="1642">
        <v>20317.9542</v>
      </c>
      <c r="N488" s="310"/>
      <c r="O488" s="928"/>
      <c r="P488" s="928"/>
      <c r="Q488" s="928"/>
      <c r="R488" s="928"/>
      <c r="S488" s="548"/>
      <c r="T488" s="522"/>
      <c r="U488" s="878"/>
      <c r="V488" s="878"/>
      <c r="W488" s="906"/>
      <c r="X488" s="878"/>
      <c r="Y488" s="548"/>
      <c r="Z488" s="878"/>
      <c r="AA488" s="878"/>
      <c r="AB488" s="878"/>
      <c r="AC488" s="878"/>
      <c r="AD488" s="878"/>
      <c r="AE488" s="878"/>
      <c r="AF488" s="878"/>
      <c r="AG488" s="878"/>
      <c r="AH488" s="878"/>
      <c r="AI488" s="878"/>
      <c r="AJ488" s="878"/>
      <c r="AK488" s="878"/>
      <c r="AL488" s="878"/>
      <c r="AM488" s="878"/>
      <c r="AN488" s="878"/>
      <c r="AO488" s="878"/>
      <c r="AP488" s="878"/>
      <c r="AQ488" s="878"/>
      <c r="AR488" s="878"/>
    </row>
    <row r="489" spans="1:44" s="312" customFormat="1" ht="19.899999999999999" customHeight="1" thickBot="1" x14ac:dyDescent="0.3">
      <c r="A489" s="2198"/>
      <c r="B489" s="1585"/>
      <c r="C489" s="2078"/>
      <c r="D489" s="1627"/>
      <c r="E489" s="2252"/>
      <c r="F489" s="1627"/>
      <c r="G489" s="1889"/>
      <c r="H489" s="1608"/>
      <c r="I489" s="2313"/>
      <c r="J489" s="2269"/>
      <c r="K489" s="563">
        <v>17610</v>
      </c>
      <c r="L489" s="564" t="s">
        <v>3</v>
      </c>
      <c r="M489" s="2146"/>
      <c r="N489" s="318"/>
      <c r="O489" s="1078"/>
      <c r="P489" s="1078"/>
      <c r="Q489" s="1078"/>
      <c r="R489" s="1078"/>
      <c r="S489" s="1025"/>
      <c r="T489" s="522"/>
      <c r="U489" s="878"/>
      <c r="V489" s="878"/>
      <c r="W489" s="878"/>
      <c r="X489" s="878"/>
      <c r="Y489" s="878"/>
      <c r="Z489" s="878"/>
      <c r="AA489" s="878"/>
      <c r="AB489" s="878"/>
      <c r="AC489" s="878"/>
      <c r="AD489" s="878"/>
      <c r="AE489" s="878"/>
      <c r="AF489" s="878"/>
      <c r="AG489" s="878"/>
      <c r="AH489" s="878"/>
      <c r="AI489" s="878"/>
      <c r="AJ489" s="878"/>
      <c r="AK489" s="878"/>
      <c r="AL489" s="878"/>
      <c r="AM489" s="878"/>
      <c r="AN489" s="878"/>
      <c r="AO489" s="878"/>
      <c r="AP489" s="878"/>
      <c r="AQ489" s="878"/>
      <c r="AR489" s="878"/>
    </row>
    <row r="490" spans="1:44" s="312" customFormat="1" ht="19.899999999999999" customHeight="1" x14ac:dyDescent="0.25">
      <c r="A490" s="2198"/>
      <c r="B490" s="1585"/>
      <c r="C490" s="2078"/>
      <c r="D490" s="1627"/>
      <c r="E490" s="2252"/>
      <c r="F490" s="1627"/>
      <c r="G490" s="1889"/>
      <c r="H490" s="2318"/>
      <c r="I490" s="1278"/>
      <c r="J490" s="877"/>
      <c r="K490" s="1112"/>
      <c r="L490" s="877"/>
      <c r="M490" s="1112"/>
      <c r="N490" s="1227" t="s">
        <v>1101</v>
      </c>
      <c r="O490" s="1227" t="s">
        <v>1102</v>
      </c>
      <c r="P490" s="1238" t="s">
        <v>43</v>
      </c>
      <c r="Q490" s="544">
        <v>0.55000000000000004</v>
      </c>
      <c r="R490" s="927" t="s">
        <v>2</v>
      </c>
      <c r="S490" s="2167">
        <f>16255.30421-S492-S493-S494</f>
        <v>15588.279849999999</v>
      </c>
      <c r="T490" s="605"/>
      <c r="U490" s="878"/>
      <c r="V490" s="878"/>
      <c r="W490" s="878"/>
      <c r="X490" s="878"/>
      <c r="Y490" s="878"/>
      <c r="Z490" s="878"/>
      <c r="AA490" s="878"/>
      <c r="AB490" s="878"/>
      <c r="AC490" s="878"/>
      <c r="AD490" s="878"/>
      <c r="AE490" s="878"/>
      <c r="AF490" s="878"/>
      <c r="AG490" s="878"/>
      <c r="AH490" s="878"/>
      <c r="AI490" s="878"/>
      <c r="AJ490" s="878"/>
      <c r="AK490" s="878"/>
      <c r="AL490" s="878"/>
      <c r="AM490" s="878"/>
      <c r="AN490" s="878"/>
      <c r="AO490" s="878"/>
      <c r="AP490" s="878"/>
      <c r="AQ490" s="878"/>
      <c r="AR490" s="878"/>
    </row>
    <row r="491" spans="1:44" s="312" customFormat="1" ht="19.899999999999999" customHeight="1" x14ac:dyDescent="0.25">
      <c r="A491" s="2198"/>
      <c r="B491" s="1585"/>
      <c r="C491" s="2078"/>
      <c r="D491" s="1627"/>
      <c r="E491" s="2252"/>
      <c r="F491" s="1627"/>
      <c r="G491" s="1889"/>
      <c r="H491" s="2319"/>
      <c r="I491" s="2314"/>
      <c r="J491" s="878"/>
      <c r="K491" s="1113"/>
      <c r="L491" s="878"/>
      <c r="M491" s="1113"/>
      <c r="N491" s="1215"/>
      <c r="O491" s="1215"/>
      <c r="P491" s="1233"/>
      <c r="Q491" s="1113">
        <v>12107</v>
      </c>
      <c r="R491" s="878" t="s">
        <v>3</v>
      </c>
      <c r="S491" s="2168"/>
      <c r="T491" s="605"/>
      <c r="U491" s="878"/>
      <c r="V491" s="878"/>
      <c r="W491" s="878"/>
      <c r="X491" s="878"/>
      <c r="Y491" s="878"/>
      <c r="Z491" s="878"/>
      <c r="AA491" s="878"/>
      <c r="AB491" s="878"/>
      <c r="AC491" s="878"/>
      <c r="AD491" s="878"/>
      <c r="AE491" s="878"/>
      <c r="AF491" s="878"/>
      <c r="AG491" s="878"/>
      <c r="AH491" s="878"/>
      <c r="AI491" s="878"/>
      <c r="AJ491" s="878"/>
      <c r="AK491" s="878"/>
      <c r="AL491" s="878"/>
      <c r="AM491" s="878"/>
      <c r="AN491" s="878"/>
      <c r="AO491" s="878"/>
      <c r="AP491" s="878"/>
      <c r="AQ491" s="878"/>
      <c r="AR491" s="878"/>
    </row>
    <row r="492" spans="1:44" s="312" customFormat="1" ht="19.899999999999999" customHeight="1" x14ac:dyDescent="0.25">
      <c r="A492" s="2198"/>
      <c r="B492" s="1585"/>
      <c r="C492" s="2078"/>
      <c r="D492" s="1627"/>
      <c r="E492" s="2252"/>
      <c r="F492" s="1627"/>
      <c r="G492" s="1889"/>
      <c r="H492" s="2319"/>
      <c r="I492" s="2314"/>
      <c r="J492" s="878"/>
      <c r="K492" s="1113"/>
      <c r="L492" s="878"/>
      <c r="M492" s="1113"/>
      <c r="N492" s="1215"/>
      <c r="O492" s="1215"/>
      <c r="P492" s="516" t="s">
        <v>6</v>
      </c>
      <c r="Q492" s="520">
        <v>1.1140000000000001</v>
      </c>
      <c r="R492" s="237" t="s">
        <v>2</v>
      </c>
      <c r="S492" s="521">
        <v>13.68988</v>
      </c>
      <c r="T492" s="605"/>
      <c r="U492" s="878"/>
      <c r="V492" s="878"/>
      <c r="W492" s="878"/>
      <c r="X492" s="878"/>
      <c r="Y492" s="878"/>
      <c r="Z492" s="878"/>
      <c r="AA492" s="878"/>
      <c r="AB492" s="878"/>
      <c r="AC492" s="878"/>
      <c r="AD492" s="878"/>
      <c r="AE492" s="878"/>
      <c r="AF492" s="878"/>
      <c r="AG492" s="878"/>
      <c r="AH492" s="878"/>
      <c r="AI492" s="878"/>
      <c r="AJ492" s="878"/>
      <c r="AK492" s="878"/>
      <c r="AL492" s="878"/>
      <c r="AM492" s="878"/>
      <c r="AN492" s="878"/>
      <c r="AO492" s="878"/>
      <c r="AP492" s="878"/>
      <c r="AQ492" s="878"/>
      <c r="AR492" s="965"/>
    </row>
    <row r="493" spans="1:44" s="312" customFormat="1" ht="19.899999999999999" customHeight="1" x14ac:dyDescent="0.25">
      <c r="A493" s="2198"/>
      <c r="B493" s="1585"/>
      <c r="C493" s="2078"/>
      <c r="D493" s="1627"/>
      <c r="E493" s="2252"/>
      <c r="F493" s="1627"/>
      <c r="G493" s="1889"/>
      <c r="H493" s="2319"/>
      <c r="I493" s="2314"/>
      <c r="J493" s="878"/>
      <c r="K493" s="1113"/>
      <c r="L493" s="878"/>
      <c r="M493" s="1113"/>
      <c r="N493" s="1215"/>
      <c r="O493" s="1215"/>
      <c r="P493" s="34" t="s">
        <v>11</v>
      </c>
      <c r="Q493" s="883">
        <v>72</v>
      </c>
      <c r="R493" s="883" t="s">
        <v>4</v>
      </c>
      <c r="S493" s="561">
        <v>66.612089999999995</v>
      </c>
      <c r="T493" s="605"/>
      <c r="U493" s="878"/>
      <c r="V493" s="878"/>
      <c r="W493" s="878"/>
      <c r="X493" s="878"/>
      <c r="Y493" s="878"/>
      <c r="Z493" s="878"/>
      <c r="AA493" s="878"/>
      <c r="AB493" s="878"/>
      <c r="AC493" s="878"/>
      <c r="AD493" s="878"/>
      <c r="AE493" s="878"/>
      <c r="AF493" s="878"/>
      <c r="AG493" s="878"/>
      <c r="AH493" s="878"/>
      <c r="AI493" s="878"/>
      <c r="AJ493" s="878"/>
      <c r="AK493" s="878"/>
      <c r="AL493" s="878"/>
      <c r="AM493" s="878"/>
      <c r="AN493" s="878"/>
      <c r="AO493" s="878"/>
      <c r="AP493" s="878"/>
      <c r="AQ493" s="878"/>
      <c r="AR493" s="965"/>
    </row>
    <row r="494" spans="1:44" s="312" customFormat="1" ht="104.1" customHeight="1" x14ac:dyDescent="0.25">
      <c r="A494" s="2198"/>
      <c r="B494" s="1585"/>
      <c r="C494" s="2078"/>
      <c r="D494" s="1627"/>
      <c r="E494" s="2252"/>
      <c r="F494" s="1627"/>
      <c r="G494" s="1889"/>
      <c r="H494" s="2319"/>
      <c r="I494" s="1369"/>
      <c r="J494" s="965"/>
      <c r="K494" s="1046"/>
      <c r="L494" s="965"/>
      <c r="M494" s="1046"/>
      <c r="N494" s="1332"/>
      <c r="O494" s="1332"/>
      <c r="P494" s="1148" t="s">
        <v>1398</v>
      </c>
      <c r="Q494" s="891">
        <v>23.4</v>
      </c>
      <c r="R494" s="891" t="s">
        <v>4</v>
      </c>
      <c r="S494" s="1087">
        <v>586.72239000000002</v>
      </c>
      <c r="T494" s="605"/>
      <c r="U494" s="878"/>
      <c r="V494" s="878"/>
      <c r="W494" s="878"/>
      <c r="X494" s="878"/>
      <c r="Y494" s="878"/>
      <c r="Z494" s="878"/>
      <c r="AA494" s="878"/>
      <c r="AB494" s="878"/>
      <c r="AC494" s="878"/>
      <c r="AD494" s="878"/>
      <c r="AE494" s="878"/>
      <c r="AF494" s="878"/>
      <c r="AG494" s="878"/>
      <c r="AH494" s="878"/>
      <c r="AI494" s="878"/>
      <c r="AJ494" s="878"/>
      <c r="AK494" s="878"/>
      <c r="AL494" s="878"/>
      <c r="AM494" s="878"/>
      <c r="AN494" s="878"/>
      <c r="AO494" s="878"/>
      <c r="AP494" s="878"/>
      <c r="AQ494" s="878"/>
      <c r="AR494" s="965"/>
    </row>
    <row r="495" spans="1:44" s="312" customFormat="1" ht="28.35" customHeight="1" x14ac:dyDescent="0.25">
      <c r="A495" s="2198"/>
      <c r="B495" s="1585"/>
      <c r="C495" s="2078"/>
      <c r="D495" s="1627"/>
      <c r="E495" s="2252"/>
      <c r="F495" s="1627"/>
      <c r="G495" s="1889"/>
      <c r="H495" s="967"/>
      <c r="I495" s="967"/>
      <c r="J495" s="967"/>
      <c r="K495" s="967"/>
      <c r="L495" s="967"/>
      <c r="M495" s="967"/>
      <c r="N495" s="1594" t="s">
        <v>1383</v>
      </c>
      <c r="O495" s="1594" t="s">
        <v>1384</v>
      </c>
      <c r="P495" s="1233" t="s">
        <v>43</v>
      </c>
      <c r="Q495" s="162">
        <f>0.66-0.195</f>
        <v>0.46500000000000002</v>
      </c>
      <c r="R495" s="967" t="s">
        <v>2</v>
      </c>
      <c r="S495" s="1596">
        <f>5899.85747-S497</f>
        <v>5892.5215499999995</v>
      </c>
      <c r="T495" s="605"/>
      <c r="U495" s="878"/>
      <c r="V495" s="878"/>
      <c r="W495" s="878"/>
      <c r="X495" s="878"/>
      <c r="Y495" s="878"/>
      <c r="Z495" s="878"/>
      <c r="AA495" s="878"/>
      <c r="AB495" s="878"/>
      <c r="AC495" s="878"/>
      <c r="AD495" s="878"/>
      <c r="AE495" s="878"/>
      <c r="AF495" s="878"/>
      <c r="AG495" s="878"/>
      <c r="AH495" s="878"/>
      <c r="AI495" s="878"/>
      <c r="AJ495" s="878"/>
      <c r="AK495" s="878"/>
      <c r="AL495" s="878"/>
      <c r="AM495" s="878"/>
      <c r="AN495" s="878"/>
      <c r="AO495" s="878"/>
      <c r="AP495" s="878"/>
      <c r="AQ495" s="878"/>
      <c r="AR495" s="965"/>
    </row>
    <row r="496" spans="1:44" s="312" customFormat="1" ht="28.35" customHeight="1" x14ac:dyDescent="0.25">
      <c r="A496" s="2198"/>
      <c r="B496" s="1585"/>
      <c r="C496" s="2078"/>
      <c r="D496" s="1627"/>
      <c r="E496" s="2252"/>
      <c r="F496" s="1627"/>
      <c r="G496" s="1889"/>
      <c r="H496" s="967"/>
      <c r="I496" s="967"/>
      <c r="J496" s="967"/>
      <c r="K496" s="967"/>
      <c r="L496" s="967"/>
      <c r="M496" s="967"/>
      <c r="N496" s="1594"/>
      <c r="O496" s="1594"/>
      <c r="P496" s="1233"/>
      <c r="Q496" s="397">
        <v>3626.1</v>
      </c>
      <c r="R496" s="967" t="s">
        <v>3</v>
      </c>
      <c r="S496" s="1596"/>
      <c r="T496" s="605"/>
      <c r="U496" s="878"/>
      <c r="V496" s="878"/>
      <c r="W496" s="878"/>
      <c r="X496" s="878"/>
      <c r="Y496" s="878"/>
      <c r="Z496" s="878"/>
      <c r="AA496" s="878"/>
      <c r="AB496" s="878"/>
      <c r="AC496" s="878"/>
      <c r="AD496" s="878"/>
      <c r="AE496" s="878"/>
      <c r="AF496" s="878"/>
      <c r="AG496" s="878"/>
      <c r="AH496" s="878"/>
      <c r="AI496" s="878"/>
      <c r="AJ496" s="878"/>
      <c r="AK496" s="878"/>
      <c r="AL496" s="878"/>
      <c r="AM496" s="878"/>
      <c r="AN496" s="878"/>
      <c r="AO496" s="878"/>
      <c r="AP496" s="878"/>
      <c r="AQ496" s="878"/>
      <c r="AR496" s="965"/>
    </row>
    <row r="497" spans="1:44" s="312" customFormat="1" ht="28.35" customHeight="1" x14ac:dyDescent="0.25">
      <c r="A497" s="2198"/>
      <c r="B497" s="1585"/>
      <c r="C497" s="2078"/>
      <c r="D497" s="1627"/>
      <c r="E497" s="2252"/>
      <c r="F497" s="1627"/>
      <c r="G497" s="1889"/>
      <c r="H497" s="967"/>
      <c r="I497" s="967"/>
      <c r="J497" s="967"/>
      <c r="K497" s="967"/>
      <c r="L497" s="967"/>
      <c r="M497" s="967"/>
      <c r="N497" s="1594"/>
      <c r="O497" s="1594"/>
      <c r="P497" s="516" t="s">
        <v>6</v>
      </c>
      <c r="Q497" s="520">
        <v>0.52300000000000002</v>
      </c>
      <c r="R497" s="237" t="s">
        <v>2</v>
      </c>
      <c r="S497" s="972">
        <v>7.3359199999999998</v>
      </c>
      <c r="T497" s="605"/>
      <c r="U497" s="878"/>
      <c r="V497" s="878"/>
      <c r="W497" s="878"/>
      <c r="X497" s="878"/>
      <c r="Y497" s="878"/>
      <c r="Z497" s="878"/>
      <c r="AA497" s="878"/>
      <c r="AB497" s="878"/>
      <c r="AC497" s="878"/>
      <c r="AD497" s="878"/>
      <c r="AE497" s="878"/>
      <c r="AF497" s="878"/>
      <c r="AG497" s="878"/>
      <c r="AH497" s="878"/>
      <c r="AI497" s="878"/>
      <c r="AJ497" s="878"/>
      <c r="AK497" s="878"/>
      <c r="AL497" s="878"/>
      <c r="AM497" s="878"/>
      <c r="AN497" s="878"/>
      <c r="AO497" s="878"/>
      <c r="AP497" s="878"/>
      <c r="AQ497" s="878"/>
      <c r="AR497" s="965"/>
    </row>
    <row r="498" spans="1:44" s="312" customFormat="1" ht="96.75" customHeight="1" x14ac:dyDescent="0.25">
      <c r="A498" s="2198"/>
      <c r="B498" s="1585"/>
      <c r="C498" s="2078"/>
      <c r="D498" s="1627"/>
      <c r="E498" s="2252"/>
      <c r="F498" s="1627"/>
      <c r="G498" s="1889"/>
      <c r="H498" s="967"/>
      <c r="I498" s="967"/>
      <c r="J498" s="967"/>
      <c r="K498" s="967"/>
      <c r="L498" s="967"/>
      <c r="M498" s="967"/>
      <c r="N498" s="1068"/>
      <c r="O498" s="1068"/>
      <c r="P498" s="516"/>
      <c r="Q498" s="520"/>
      <c r="R498" s="237"/>
      <c r="S498" s="972"/>
      <c r="T498" s="605" t="s">
        <v>1515</v>
      </c>
      <c r="U498" s="878" t="s">
        <v>1515</v>
      </c>
      <c r="V498" s="34" t="s">
        <v>1046</v>
      </c>
      <c r="W498" s="878">
        <v>1</v>
      </c>
      <c r="X498" s="878" t="s">
        <v>8</v>
      </c>
      <c r="Y498" s="522">
        <v>586.46803</v>
      </c>
      <c r="Z498" s="605"/>
      <c r="AA498" s="878"/>
      <c r="AB498" s="878"/>
      <c r="AC498" s="878"/>
      <c r="AD498" s="878"/>
      <c r="AE498" s="878"/>
      <c r="AF498" s="878"/>
      <c r="AG498" s="878"/>
      <c r="AH498" s="878"/>
      <c r="AI498" s="878"/>
      <c r="AJ498" s="878"/>
      <c r="AK498" s="878"/>
      <c r="AL498" s="878"/>
      <c r="AM498" s="878"/>
      <c r="AN498" s="878"/>
      <c r="AO498" s="878"/>
      <c r="AP498" s="878"/>
      <c r="AQ498" s="878"/>
      <c r="AR498" s="936"/>
    </row>
    <row r="499" spans="1:44" s="312" customFormat="1" ht="96.75" customHeight="1" x14ac:dyDescent="0.25">
      <c r="A499" s="2198"/>
      <c r="B499" s="1585"/>
      <c r="C499" s="2078"/>
      <c r="D499" s="1627"/>
      <c r="E499" s="2252"/>
      <c r="F499" s="1627"/>
      <c r="G499" s="1889"/>
      <c r="H499" s="967"/>
      <c r="I499" s="967"/>
      <c r="J499" s="967"/>
      <c r="K499" s="967"/>
      <c r="L499" s="967"/>
      <c r="M499" s="967"/>
      <c r="N499" s="1068"/>
      <c r="O499" s="1068"/>
      <c r="P499" s="516"/>
      <c r="Q499" s="520"/>
      <c r="R499" s="237"/>
      <c r="S499" s="972"/>
      <c r="T499" s="605" t="s">
        <v>1516</v>
      </c>
      <c r="U499" s="878" t="s">
        <v>1516</v>
      </c>
      <c r="V499" s="34" t="s">
        <v>1046</v>
      </c>
      <c r="W499" s="878">
        <v>1</v>
      </c>
      <c r="X499" s="878" t="s">
        <v>8</v>
      </c>
      <c r="Y499" s="522">
        <v>586.46803</v>
      </c>
      <c r="Z499" s="605"/>
      <c r="AA499" s="878"/>
      <c r="AB499" s="878"/>
      <c r="AC499" s="878"/>
      <c r="AD499" s="878"/>
      <c r="AE499" s="878"/>
      <c r="AF499" s="878"/>
      <c r="AG499" s="878"/>
      <c r="AH499" s="878"/>
      <c r="AI499" s="878"/>
      <c r="AJ499" s="878"/>
      <c r="AK499" s="878"/>
      <c r="AL499" s="878"/>
      <c r="AM499" s="878"/>
      <c r="AN499" s="878"/>
      <c r="AO499" s="878"/>
      <c r="AP499" s="878"/>
      <c r="AQ499" s="878"/>
      <c r="AR499" s="936"/>
    </row>
    <row r="500" spans="1:44" s="312" customFormat="1" ht="27" customHeight="1" x14ac:dyDescent="0.25">
      <c r="A500" s="2198"/>
      <c r="B500" s="1585"/>
      <c r="C500" s="2078"/>
      <c r="D500" s="1627"/>
      <c r="E500" s="2252"/>
      <c r="F500" s="1627"/>
      <c r="G500" s="1889"/>
      <c r="H500" s="967"/>
      <c r="I500" s="967"/>
      <c r="J500" s="967"/>
      <c r="K500" s="967"/>
      <c r="L500" s="967"/>
      <c r="M500" s="967"/>
      <c r="N500" s="1068"/>
      <c r="O500" s="1068"/>
      <c r="P500" s="516"/>
      <c r="Q500" s="520"/>
      <c r="R500" s="237"/>
      <c r="S500" s="972"/>
      <c r="T500" s="1010"/>
      <c r="U500" s="911"/>
      <c r="V500" s="1149"/>
      <c r="W500" s="911"/>
      <c r="X500" s="911"/>
      <c r="Y500" s="1132"/>
      <c r="Z500" s="605"/>
      <c r="AA500" s="878"/>
      <c r="AB500" s="878"/>
      <c r="AC500" s="878"/>
      <c r="AD500" s="878"/>
      <c r="AE500" s="878"/>
      <c r="AF500" s="1332" t="s">
        <v>1531</v>
      </c>
      <c r="AG500" s="1332" t="s">
        <v>1532</v>
      </c>
      <c r="AH500" s="1374" t="s">
        <v>5</v>
      </c>
      <c r="AI500" s="906">
        <v>2.37</v>
      </c>
      <c r="AJ500" s="1120" t="s">
        <v>2</v>
      </c>
      <c r="AK500" s="1380">
        <v>52631.578999999998</v>
      </c>
      <c r="AL500" s="802"/>
      <c r="AM500" s="802"/>
      <c r="AN500" s="1185"/>
      <c r="AO500" s="840"/>
      <c r="AP500" s="1187"/>
      <c r="AQ500" s="1188"/>
      <c r="AR500" s="965"/>
    </row>
    <row r="501" spans="1:44" s="312" customFormat="1" ht="27" customHeight="1" thickBot="1" x14ac:dyDescent="0.3">
      <c r="A501" s="1364"/>
      <c r="B501" s="1586"/>
      <c r="C501" s="2250"/>
      <c r="D501" s="2157"/>
      <c r="E501" s="2253"/>
      <c r="F501" s="2157"/>
      <c r="G501" s="1890"/>
      <c r="H501" s="967"/>
      <c r="I501" s="967"/>
      <c r="J501" s="967"/>
      <c r="K501" s="967"/>
      <c r="L501" s="967"/>
      <c r="M501" s="967"/>
      <c r="N501" s="1068"/>
      <c r="O501" s="1068"/>
      <c r="P501" s="516"/>
      <c r="Q501" s="520"/>
      <c r="R501" s="237"/>
      <c r="S501" s="972"/>
      <c r="T501" s="1010"/>
      <c r="U501" s="911"/>
      <c r="V501" s="1149"/>
      <c r="W501" s="911"/>
      <c r="X501" s="911"/>
      <c r="Y501" s="1132"/>
      <c r="Z501" s="605"/>
      <c r="AA501" s="878"/>
      <c r="AB501" s="878"/>
      <c r="AC501" s="878"/>
      <c r="AD501" s="878"/>
      <c r="AE501" s="878"/>
      <c r="AF501" s="1235"/>
      <c r="AG501" s="1235"/>
      <c r="AH501" s="1375"/>
      <c r="AI501" s="901">
        <v>35000</v>
      </c>
      <c r="AJ501" s="1120" t="s">
        <v>3</v>
      </c>
      <c r="AK501" s="1335"/>
      <c r="AL501" s="802"/>
      <c r="AM501" s="802"/>
      <c r="AN501" s="1185"/>
      <c r="AO501" s="1189"/>
      <c r="AP501" s="1187"/>
      <c r="AQ501" s="1188"/>
      <c r="AR501" s="965"/>
    </row>
    <row r="502" spans="1:44" s="312" customFormat="1" ht="34.15" customHeight="1" x14ac:dyDescent="0.25">
      <c r="A502" s="1363">
        <f>A488+1</f>
        <v>2</v>
      </c>
      <c r="B502" s="1584" t="s">
        <v>294</v>
      </c>
      <c r="C502" s="2249" t="s">
        <v>71</v>
      </c>
      <c r="D502" s="2155">
        <v>2.5047999999999999</v>
      </c>
      <c r="E502" s="2251">
        <v>29322.7</v>
      </c>
      <c r="F502" s="2155">
        <v>2.5047999999999999</v>
      </c>
      <c r="G502" s="1888">
        <v>29322.7</v>
      </c>
      <c r="H502" s="1369" t="s">
        <v>441</v>
      </c>
      <c r="I502" s="2258" t="s">
        <v>1190</v>
      </c>
      <c r="J502" s="2254" t="s">
        <v>43</v>
      </c>
      <c r="K502" s="1012">
        <v>1.694</v>
      </c>
      <c r="L502" s="1081" t="s">
        <v>2</v>
      </c>
      <c r="M502" s="2147">
        <v>19024.42409</v>
      </c>
      <c r="N502" s="321"/>
      <c r="O502" s="1081"/>
      <c r="P502" s="1081"/>
      <c r="Q502" s="1081"/>
      <c r="R502" s="1081"/>
      <c r="S502" s="898"/>
      <c r="T502" s="911"/>
      <c r="U502" s="911"/>
      <c r="V502" s="911"/>
      <c r="W502" s="911"/>
      <c r="X502" s="911"/>
      <c r="Y502" s="760"/>
      <c r="Z502" s="605"/>
      <c r="AA502" s="878"/>
      <c r="AB502" s="878"/>
      <c r="AC502" s="878"/>
      <c r="AD502" s="878"/>
      <c r="AE502" s="878"/>
      <c r="AF502" s="878"/>
      <c r="AG502" s="878"/>
      <c r="AH502" s="878"/>
      <c r="AI502" s="878"/>
      <c r="AJ502" s="878"/>
      <c r="AK502" s="878"/>
      <c r="AL502" s="878"/>
      <c r="AM502" s="878"/>
      <c r="AN502" s="878"/>
      <c r="AO502" s="878"/>
      <c r="AP502" s="878"/>
      <c r="AQ502" s="878"/>
      <c r="AR502" s="1285" t="s">
        <v>1189</v>
      </c>
    </row>
    <row r="503" spans="1:44" s="312" customFormat="1" ht="34.15" customHeight="1" thickBot="1" x14ac:dyDescent="0.3">
      <c r="A503" s="2198"/>
      <c r="B503" s="1585"/>
      <c r="C503" s="2078"/>
      <c r="D503" s="1627"/>
      <c r="E503" s="2252"/>
      <c r="F503" s="1627"/>
      <c r="G503" s="1889"/>
      <c r="H503" s="1358"/>
      <c r="I503" s="2258"/>
      <c r="J503" s="2254"/>
      <c r="K503" s="1046">
        <v>15100</v>
      </c>
      <c r="L503" s="1036" t="s">
        <v>3</v>
      </c>
      <c r="M503" s="2146"/>
      <c r="N503" s="318"/>
      <c r="O503" s="1078"/>
      <c r="P503" s="1078"/>
      <c r="Q503" s="1078"/>
      <c r="R503" s="1078"/>
      <c r="S503" s="1025"/>
      <c r="T503" s="965"/>
      <c r="U503" s="965"/>
      <c r="V503" s="965"/>
      <c r="W503" s="965"/>
      <c r="X503" s="965"/>
      <c r="Y503" s="612"/>
      <c r="Z503" s="605"/>
      <c r="AA503" s="878"/>
      <c r="AB503" s="878"/>
      <c r="AC503" s="878"/>
      <c r="AD503" s="878"/>
      <c r="AE503" s="878"/>
      <c r="AF503" s="878"/>
      <c r="AG503" s="878"/>
      <c r="AH503" s="878"/>
      <c r="AI503" s="878"/>
      <c r="AJ503" s="878"/>
      <c r="AK503" s="878"/>
      <c r="AL503" s="878"/>
      <c r="AM503" s="878"/>
      <c r="AN503" s="878"/>
      <c r="AO503" s="878"/>
      <c r="AP503" s="878"/>
      <c r="AQ503" s="878"/>
      <c r="AR503" s="1213"/>
    </row>
    <row r="504" spans="1:44" s="312" customFormat="1" ht="34.15" customHeight="1" x14ac:dyDescent="0.25">
      <c r="A504" s="2198"/>
      <c r="B504" s="1585"/>
      <c r="C504" s="2078"/>
      <c r="D504" s="1627"/>
      <c r="E504" s="2252"/>
      <c r="F504" s="1627"/>
      <c r="G504" s="1889"/>
      <c r="H504" s="1144"/>
      <c r="I504" s="613"/>
      <c r="J504" s="1075"/>
      <c r="K504" s="614"/>
      <c r="L504" s="915"/>
      <c r="M504" s="668"/>
      <c r="N504" s="2261"/>
      <c r="O504" s="1227"/>
      <c r="P504" s="1238"/>
      <c r="Q504" s="544"/>
      <c r="R504" s="927"/>
      <c r="S504" s="2212"/>
      <c r="T504" s="1227" t="s">
        <v>1392</v>
      </c>
      <c r="U504" s="1227" t="s">
        <v>1412</v>
      </c>
      <c r="V504" s="1238" t="s">
        <v>43</v>
      </c>
      <c r="W504" s="544">
        <v>1.7</v>
      </c>
      <c r="X504" s="927" t="s">
        <v>2</v>
      </c>
      <c r="Y504" s="2434">
        <f>28430.9436-Y506</f>
        <v>27268.845600000001</v>
      </c>
      <c r="Z504" s="605"/>
      <c r="AA504" s="878"/>
      <c r="AB504" s="878"/>
      <c r="AC504" s="878"/>
      <c r="AD504" s="878"/>
      <c r="AE504" s="878"/>
      <c r="AF504" s="878"/>
      <c r="AG504" s="878"/>
      <c r="AH504" s="878"/>
      <c r="AI504" s="878"/>
      <c r="AJ504" s="878"/>
      <c r="AK504" s="878"/>
      <c r="AL504" s="878"/>
      <c r="AM504" s="878"/>
      <c r="AN504" s="878"/>
      <c r="AO504" s="878"/>
      <c r="AP504" s="878"/>
      <c r="AQ504" s="878"/>
      <c r="AR504" s="1285" t="s">
        <v>1413</v>
      </c>
    </row>
    <row r="505" spans="1:44" s="312" customFormat="1" ht="34.15" customHeight="1" thickBot="1" x14ac:dyDescent="0.3">
      <c r="A505" s="2198"/>
      <c r="B505" s="1585"/>
      <c r="C505" s="2078"/>
      <c r="D505" s="1627"/>
      <c r="E505" s="2252"/>
      <c r="F505" s="1627"/>
      <c r="G505" s="1889"/>
      <c r="H505" s="607"/>
      <c r="I505" s="611"/>
      <c r="J505" s="1076"/>
      <c r="K505" s="1094"/>
      <c r="L505" s="896"/>
      <c r="M505" s="667"/>
      <c r="N505" s="2262"/>
      <c r="O505" s="1215"/>
      <c r="P505" s="1233"/>
      <c r="Q505" s="1113"/>
      <c r="R505" s="878"/>
      <c r="S505" s="1596"/>
      <c r="T505" s="1215"/>
      <c r="U505" s="1215"/>
      <c r="V505" s="1233"/>
      <c r="W505" s="1113">
        <v>15132</v>
      </c>
      <c r="X505" s="878" t="s">
        <v>3</v>
      </c>
      <c r="Y505" s="2435"/>
      <c r="Z505" s="605"/>
      <c r="AA505" s="878"/>
      <c r="AB505" s="878"/>
      <c r="AC505" s="878"/>
      <c r="AD505" s="878"/>
      <c r="AE505" s="878"/>
      <c r="AF505" s="878"/>
      <c r="AG505" s="878"/>
      <c r="AH505" s="878"/>
      <c r="AI505" s="878"/>
      <c r="AJ505" s="878"/>
      <c r="AK505" s="878"/>
      <c r="AL505" s="878"/>
      <c r="AM505" s="878"/>
      <c r="AN505" s="878"/>
      <c r="AO505" s="878"/>
      <c r="AP505" s="878"/>
      <c r="AQ505" s="878"/>
      <c r="AR505" s="1213"/>
    </row>
    <row r="506" spans="1:44" s="312" customFormat="1" ht="34.15" customHeight="1" thickBot="1" x14ac:dyDescent="0.3">
      <c r="A506" s="2198"/>
      <c r="B506" s="1585"/>
      <c r="C506" s="2078"/>
      <c r="D506" s="1627"/>
      <c r="E506" s="2252"/>
      <c r="F506" s="1627"/>
      <c r="G506" s="1889"/>
      <c r="H506" s="1092"/>
      <c r="I506" s="665"/>
      <c r="J506" s="879"/>
      <c r="K506" s="1006"/>
      <c r="L506" s="909"/>
      <c r="M506" s="666"/>
      <c r="N506" s="1102"/>
      <c r="O506" s="886"/>
      <c r="P506" s="885"/>
      <c r="Q506" s="788"/>
      <c r="R506" s="885"/>
      <c r="S506" s="788"/>
      <c r="T506" s="1354"/>
      <c r="U506" s="1292"/>
      <c r="V506" s="885" t="s">
        <v>6</v>
      </c>
      <c r="W506" s="788">
        <v>1.6160000000000001</v>
      </c>
      <c r="X506" s="885" t="s">
        <v>2</v>
      </c>
      <c r="Y506" s="792">
        <v>1162.098</v>
      </c>
      <c r="Z506" s="605"/>
      <c r="AA506" s="878"/>
      <c r="AB506" s="878"/>
      <c r="AC506" s="878"/>
      <c r="AD506" s="878"/>
      <c r="AE506" s="878"/>
      <c r="AF506" s="878"/>
      <c r="AG506" s="878"/>
      <c r="AH506" s="878"/>
      <c r="AI506" s="878"/>
      <c r="AJ506" s="878"/>
      <c r="AK506" s="878"/>
      <c r="AL506" s="878"/>
      <c r="AM506" s="878"/>
      <c r="AN506" s="878"/>
      <c r="AO506" s="878"/>
      <c r="AP506" s="878"/>
      <c r="AQ506" s="878"/>
      <c r="AR506" s="909"/>
    </row>
    <row r="507" spans="1:44" s="312" customFormat="1" ht="89.25" customHeight="1" thickBot="1" x14ac:dyDescent="0.3">
      <c r="A507" s="1364"/>
      <c r="B507" s="1586"/>
      <c r="C507" s="2250"/>
      <c r="D507" s="2157"/>
      <c r="E507" s="2253"/>
      <c r="F507" s="2157"/>
      <c r="G507" s="1890"/>
      <c r="H507" s="761"/>
      <c r="I507" s="762"/>
      <c r="J507" s="1009"/>
      <c r="K507" s="1147"/>
      <c r="L507" s="1036"/>
      <c r="M507" s="1097"/>
      <c r="N507" s="761"/>
      <c r="O507" s="922"/>
      <c r="P507" s="1036"/>
      <c r="Q507" s="1147"/>
      <c r="R507" s="1036"/>
      <c r="S507" s="1147"/>
      <c r="T507" s="874" t="s">
        <v>1089</v>
      </c>
      <c r="U507" s="874" t="s">
        <v>1089</v>
      </c>
      <c r="V507" s="34" t="s">
        <v>1046</v>
      </c>
      <c r="W507" s="878">
        <v>1</v>
      </c>
      <c r="X507" s="878" t="s">
        <v>8</v>
      </c>
      <c r="Y507" s="522">
        <v>586.46803</v>
      </c>
      <c r="Z507" s="605"/>
      <c r="AA507" s="878"/>
      <c r="AB507" s="878"/>
      <c r="AC507" s="878"/>
      <c r="AD507" s="878"/>
      <c r="AE507" s="878"/>
      <c r="AF507" s="878"/>
      <c r="AG507" s="878"/>
      <c r="AH507" s="878"/>
      <c r="AI507" s="878"/>
      <c r="AJ507" s="878"/>
      <c r="AK507" s="878"/>
      <c r="AL507" s="878"/>
      <c r="AM507" s="878"/>
      <c r="AN507" s="878"/>
      <c r="AO507" s="878"/>
      <c r="AP507" s="878"/>
      <c r="AQ507" s="878"/>
      <c r="AR507" s="1036"/>
    </row>
    <row r="508" spans="1:44" s="312" customFormat="1" ht="32.85" customHeight="1" x14ac:dyDescent="0.25">
      <c r="A508" s="1819">
        <f>A502+1</f>
        <v>3</v>
      </c>
      <c r="B508" s="1826" t="s">
        <v>295</v>
      </c>
      <c r="C508" s="1780" t="s">
        <v>72</v>
      </c>
      <c r="D508" s="1577">
        <v>1.1180000000000001</v>
      </c>
      <c r="E508" s="1270">
        <v>34656.800000000003</v>
      </c>
      <c r="F508" s="1577">
        <v>1.1180000000000001</v>
      </c>
      <c r="G508" s="1270">
        <v>34656.800000000003</v>
      </c>
      <c r="H508" s="1221" t="s">
        <v>441</v>
      </c>
      <c r="I508" s="1221" t="s">
        <v>604</v>
      </c>
      <c r="J508" s="1246" t="s">
        <v>43</v>
      </c>
      <c r="K508" s="544">
        <v>1.06</v>
      </c>
      <c r="L508" s="927" t="s">
        <v>2</v>
      </c>
      <c r="M508" s="1642">
        <v>15636.095369999999</v>
      </c>
      <c r="N508" s="321"/>
      <c r="O508" s="1081"/>
      <c r="P508" s="1081"/>
      <c r="Q508" s="1081"/>
      <c r="R508" s="1081"/>
      <c r="S508" s="898"/>
      <c r="T508" s="911"/>
      <c r="U508" s="911"/>
      <c r="V508" s="911"/>
      <c r="W508" s="911"/>
      <c r="X508" s="911"/>
      <c r="Y508" s="911"/>
      <c r="Z508" s="878"/>
      <c r="AA508" s="878"/>
      <c r="AB508" s="878"/>
      <c r="AC508" s="878"/>
      <c r="AD508" s="878"/>
      <c r="AE508" s="878"/>
      <c r="AF508" s="878"/>
      <c r="AG508" s="878"/>
      <c r="AH508" s="878"/>
      <c r="AI508" s="878"/>
      <c r="AJ508" s="878"/>
      <c r="AK508" s="878"/>
      <c r="AL508" s="878"/>
      <c r="AM508" s="878"/>
      <c r="AN508" s="878"/>
      <c r="AO508" s="878"/>
      <c r="AP508" s="878"/>
      <c r="AQ508" s="878"/>
      <c r="AR508" s="1285" t="s">
        <v>1191</v>
      </c>
    </row>
    <row r="509" spans="1:44" s="312" customFormat="1" ht="32.85" customHeight="1" thickBot="1" x14ac:dyDescent="0.3">
      <c r="A509" s="1365"/>
      <c r="B509" s="1298"/>
      <c r="C509" s="1699"/>
      <c r="D509" s="1543"/>
      <c r="E509" s="1559"/>
      <c r="F509" s="1543"/>
      <c r="G509" s="1559"/>
      <c r="H509" s="1275"/>
      <c r="I509" s="1275"/>
      <c r="J509" s="1220"/>
      <c r="K509" s="1046">
        <v>12765</v>
      </c>
      <c r="L509" s="880" t="s">
        <v>3</v>
      </c>
      <c r="M509" s="2146"/>
      <c r="N509" s="318"/>
      <c r="O509" s="1078"/>
      <c r="P509" s="1078"/>
      <c r="Q509" s="1078"/>
      <c r="R509" s="1078"/>
      <c r="S509" s="1025"/>
      <c r="T509" s="878"/>
      <c r="U509" s="878"/>
      <c r="V509" s="878"/>
      <c r="W509" s="878"/>
      <c r="X509" s="878"/>
      <c r="Y509" s="878"/>
      <c r="Z509" s="878"/>
      <c r="AA509" s="878"/>
      <c r="AB509" s="878"/>
      <c r="AC509" s="878"/>
      <c r="AD509" s="878"/>
      <c r="AE509" s="878"/>
      <c r="AF509" s="878"/>
      <c r="AG509" s="878"/>
      <c r="AH509" s="878"/>
      <c r="AI509" s="878"/>
      <c r="AJ509" s="878"/>
      <c r="AK509" s="878"/>
      <c r="AL509" s="878"/>
      <c r="AM509" s="878"/>
      <c r="AN509" s="878"/>
      <c r="AO509" s="878"/>
      <c r="AP509" s="878"/>
      <c r="AQ509" s="878"/>
      <c r="AR509" s="1213"/>
    </row>
    <row r="510" spans="1:44" s="312" customFormat="1" ht="34.700000000000003" customHeight="1" x14ac:dyDescent="0.25">
      <c r="A510" s="1365"/>
      <c r="B510" s="1298"/>
      <c r="C510" s="1699"/>
      <c r="D510" s="1543"/>
      <c r="E510" s="1559"/>
      <c r="F510" s="1543"/>
      <c r="G510" s="1559"/>
      <c r="H510" s="874"/>
      <c r="I510" s="874"/>
      <c r="J510" s="878"/>
      <c r="K510" s="1113"/>
      <c r="L510" s="878"/>
      <c r="M510" s="1177"/>
      <c r="N510" s="2261" t="s">
        <v>441</v>
      </c>
      <c r="O510" s="1227" t="s">
        <v>1193</v>
      </c>
      <c r="P510" s="1303" t="s">
        <v>43</v>
      </c>
      <c r="Q510" s="544">
        <f>1.051-1.051</f>
        <v>0</v>
      </c>
      <c r="R510" s="927" t="s">
        <v>2</v>
      </c>
      <c r="S510" s="2088">
        <f>19436.1432+2344.39441-S512-S513</f>
        <v>21376.503370000002</v>
      </c>
      <c r="T510" s="537"/>
      <c r="U510" s="338"/>
      <c r="V510" s="965"/>
      <c r="W510" s="878"/>
      <c r="X510" s="878"/>
      <c r="Y510" s="965"/>
      <c r="Z510" s="965"/>
      <c r="AA510" s="338"/>
      <c r="AB510" s="965"/>
      <c r="AC510" s="878"/>
      <c r="AD510" s="878"/>
      <c r="AE510" s="965"/>
      <c r="AF510" s="878"/>
      <c r="AG510" s="878"/>
      <c r="AH510" s="878"/>
      <c r="AI510" s="878"/>
      <c r="AJ510" s="878"/>
      <c r="AK510" s="878"/>
      <c r="AL510" s="878"/>
      <c r="AM510" s="878"/>
      <c r="AN510" s="878"/>
      <c r="AO510" s="878"/>
      <c r="AP510" s="878"/>
      <c r="AQ510" s="878"/>
      <c r="AR510" s="1285" t="s">
        <v>1192</v>
      </c>
    </row>
    <row r="511" spans="1:44" s="312" customFormat="1" ht="34.700000000000003" customHeight="1" thickBot="1" x14ac:dyDescent="0.3">
      <c r="A511" s="1365"/>
      <c r="B511" s="1298"/>
      <c r="C511" s="1699"/>
      <c r="D511" s="1543"/>
      <c r="E511" s="1559"/>
      <c r="F511" s="1543"/>
      <c r="G511" s="1559"/>
      <c r="H511" s="874"/>
      <c r="I511" s="874"/>
      <c r="J511" s="878"/>
      <c r="K511" s="1113"/>
      <c r="L511" s="878"/>
      <c r="M511" s="1177"/>
      <c r="N511" s="2262"/>
      <c r="O511" s="1215"/>
      <c r="P511" s="2098"/>
      <c r="Q511" s="788">
        <v>13390</v>
      </c>
      <c r="R511" s="1146" t="s">
        <v>3</v>
      </c>
      <c r="S511" s="1643"/>
      <c r="T511" s="537"/>
      <c r="U511" s="338"/>
      <c r="V511" s="965"/>
      <c r="W511" s="878"/>
      <c r="X511" s="878"/>
      <c r="Y511" s="965"/>
      <c r="Z511" s="965"/>
      <c r="AA511" s="338"/>
      <c r="AB511" s="965"/>
      <c r="AC511" s="878"/>
      <c r="AD511" s="878"/>
      <c r="AE511" s="965"/>
      <c r="AF511" s="878"/>
      <c r="AG511" s="878"/>
      <c r="AH511" s="878"/>
      <c r="AI511" s="878"/>
      <c r="AJ511" s="878"/>
      <c r="AK511" s="878"/>
      <c r="AL511" s="878"/>
      <c r="AM511" s="878"/>
      <c r="AN511" s="878"/>
      <c r="AO511" s="878"/>
      <c r="AP511" s="878"/>
      <c r="AQ511" s="878"/>
      <c r="AR511" s="1213"/>
    </row>
    <row r="512" spans="1:44" s="312" customFormat="1" ht="28.35" customHeight="1" x14ac:dyDescent="0.25">
      <c r="A512" s="1365"/>
      <c r="B512" s="1298"/>
      <c r="C512" s="1699"/>
      <c r="D512" s="1543"/>
      <c r="E512" s="1559"/>
      <c r="F512" s="1543"/>
      <c r="G512" s="1559"/>
      <c r="H512" s="874"/>
      <c r="I512" s="874"/>
      <c r="J512" s="878"/>
      <c r="K512" s="1113"/>
      <c r="L512" s="878"/>
      <c r="M512" s="1177"/>
      <c r="N512" s="2262"/>
      <c r="O512" s="1215"/>
      <c r="P512" s="516" t="s">
        <v>6</v>
      </c>
      <c r="Q512" s="520">
        <v>1.0209999999999999</v>
      </c>
      <c r="R512" s="237" t="s">
        <v>2</v>
      </c>
      <c r="S512" s="521">
        <v>11.2538</v>
      </c>
      <c r="T512" s="537"/>
      <c r="U512" s="338"/>
      <c r="V512" s="965"/>
      <c r="W512" s="878"/>
      <c r="X512" s="878"/>
      <c r="Y512" s="965"/>
      <c r="Z512" s="965"/>
      <c r="AA512" s="338"/>
      <c r="AB512" s="965"/>
      <c r="AC512" s="878"/>
      <c r="AD512" s="878"/>
      <c r="AE512" s="965"/>
      <c r="AF512" s="878"/>
      <c r="AG512" s="878"/>
      <c r="AH512" s="878"/>
      <c r="AI512" s="878"/>
      <c r="AJ512" s="878"/>
      <c r="AK512" s="878"/>
      <c r="AL512" s="878"/>
      <c r="AM512" s="878"/>
      <c r="AN512" s="878"/>
      <c r="AO512" s="878"/>
      <c r="AP512" s="878"/>
      <c r="AQ512" s="878"/>
      <c r="AR512" s="911"/>
    </row>
    <row r="513" spans="1:44" s="312" customFormat="1" ht="72" customHeight="1" thickBot="1" x14ac:dyDescent="0.3">
      <c r="A513" s="1820"/>
      <c r="B513" s="1900"/>
      <c r="C513" s="1906"/>
      <c r="D513" s="1578"/>
      <c r="E513" s="1579"/>
      <c r="F513" s="1578"/>
      <c r="G513" s="1579"/>
      <c r="H513" s="874"/>
      <c r="I513" s="874"/>
      <c r="J513" s="878"/>
      <c r="K513" s="1113"/>
      <c r="L513" s="878"/>
      <c r="M513" s="1177"/>
      <c r="N513" s="2263"/>
      <c r="O513" s="1292"/>
      <c r="P513" s="304" t="s">
        <v>1399</v>
      </c>
      <c r="Q513" s="884">
        <v>19.8</v>
      </c>
      <c r="R513" s="884" t="s">
        <v>4</v>
      </c>
      <c r="S513" s="562">
        <v>392.78044</v>
      </c>
      <c r="T513" s="537"/>
      <c r="U513" s="338"/>
      <c r="V513" s="965"/>
      <c r="W513" s="878"/>
      <c r="X513" s="878"/>
      <c r="Y513" s="965"/>
      <c r="Z513" s="965"/>
      <c r="AA513" s="338"/>
      <c r="AB513" s="965"/>
      <c r="AC513" s="878"/>
      <c r="AD513" s="878"/>
      <c r="AE513" s="965"/>
      <c r="AF513" s="878"/>
      <c r="AG513" s="878"/>
      <c r="AH513" s="878"/>
      <c r="AI513" s="878"/>
      <c r="AJ513" s="878"/>
      <c r="AK513" s="878"/>
      <c r="AL513" s="878"/>
      <c r="AM513" s="878"/>
      <c r="AN513" s="878"/>
      <c r="AO513" s="878"/>
      <c r="AP513" s="878"/>
      <c r="AQ513" s="878"/>
      <c r="AR513" s="911"/>
    </row>
    <row r="514" spans="1:44" s="312" customFormat="1" ht="24.4" customHeight="1" x14ac:dyDescent="0.25">
      <c r="A514" s="1819">
        <f>A508+1</f>
        <v>4</v>
      </c>
      <c r="B514" s="1247" t="s">
        <v>296</v>
      </c>
      <c r="C514" s="2309" t="s">
        <v>73</v>
      </c>
      <c r="D514" s="1397">
        <v>1.86</v>
      </c>
      <c r="E514" s="1587">
        <v>13725</v>
      </c>
      <c r="F514" s="1397">
        <v>1.86</v>
      </c>
      <c r="G514" s="1587">
        <v>13725</v>
      </c>
      <c r="H514" s="1275" t="s">
        <v>441</v>
      </c>
      <c r="I514" s="1599" t="s">
        <v>1084</v>
      </c>
      <c r="J514" s="1576" t="s">
        <v>43</v>
      </c>
      <c r="K514" s="1012">
        <v>1.3220000000000001</v>
      </c>
      <c r="L514" s="1081" t="s">
        <v>2</v>
      </c>
      <c r="M514" s="2146">
        <f>14709.54743</f>
        <v>14709.547430000001</v>
      </c>
      <c r="N514" s="2283"/>
      <c r="O514" s="1599"/>
      <c r="P514" s="1576"/>
      <c r="Q514" s="1012"/>
      <c r="R514" s="1081"/>
      <c r="S514" s="1937"/>
      <c r="T514" s="1332"/>
      <c r="U514" s="2207"/>
      <c r="V514" s="1374"/>
      <c r="W514" s="1068"/>
      <c r="X514" s="928"/>
      <c r="Y514" s="1595"/>
      <c r="Z514" s="1332"/>
      <c r="AA514" s="2207"/>
      <c r="AB514" s="1374"/>
      <c r="AC514" s="1068"/>
      <c r="AD514" s="928"/>
      <c r="AE514" s="1595"/>
      <c r="AF514" s="878"/>
      <c r="AG514" s="878"/>
      <c r="AH514" s="878"/>
      <c r="AI514" s="878"/>
      <c r="AJ514" s="878"/>
      <c r="AK514" s="878"/>
      <c r="AL514" s="878"/>
      <c r="AM514" s="878"/>
      <c r="AN514" s="878"/>
      <c r="AO514" s="878"/>
      <c r="AP514" s="878"/>
      <c r="AQ514" s="878"/>
      <c r="AR514" s="878"/>
    </row>
    <row r="515" spans="1:44" s="312" customFormat="1" ht="26.65" customHeight="1" thickBot="1" x14ac:dyDescent="0.3">
      <c r="A515" s="1365"/>
      <c r="B515" s="1298"/>
      <c r="C515" s="1977"/>
      <c r="D515" s="1543"/>
      <c r="E515" s="1559"/>
      <c r="F515" s="1543"/>
      <c r="G515" s="1559"/>
      <c r="H515" s="1275"/>
      <c r="I515" s="1599"/>
      <c r="J515" s="1576"/>
      <c r="K515" s="1046">
        <v>10300.700000000001</v>
      </c>
      <c r="L515" s="880" t="s">
        <v>3</v>
      </c>
      <c r="M515" s="2146"/>
      <c r="N515" s="2283"/>
      <c r="O515" s="1599"/>
      <c r="P515" s="1576"/>
      <c r="Q515" s="1020"/>
      <c r="R515" s="880"/>
      <c r="S515" s="1937"/>
      <c r="T515" s="1275"/>
      <c r="U515" s="1599"/>
      <c r="V515" s="1576"/>
      <c r="W515" s="1020"/>
      <c r="X515" s="880"/>
      <c r="Y515" s="1719"/>
      <c r="Z515" s="1275"/>
      <c r="AA515" s="1599"/>
      <c r="AB515" s="1576"/>
      <c r="AC515" s="1020"/>
      <c r="AD515" s="880"/>
      <c r="AE515" s="1719"/>
      <c r="AF515" s="878"/>
      <c r="AG515" s="878"/>
      <c r="AH515" s="878"/>
      <c r="AI515" s="878"/>
      <c r="AJ515" s="878"/>
      <c r="AK515" s="878"/>
      <c r="AL515" s="878"/>
      <c r="AM515" s="878"/>
      <c r="AN515" s="878"/>
      <c r="AO515" s="878"/>
      <c r="AP515" s="878"/>
      <c r="AQ515" s="878"/>
      <c r="AR515" s="878"/>
    </row>
    <row r="516" spans="1:44" s="312" customFormat="1" ht="72" customHeight="1" x14ac:dyDescent="0.25">
      <c r="A516" s="1365"/>
      <c r="B516" s="1298"/>
      <c r="C516" s="1977"/>
      <c r="D516" s="1543"/>
      <c r="E516" s="1559"/>
      <c r="F516" s="1543"/>
      <c r="G516" s="1559"/>
      <c r="H516" s="1221" t="s">
        <v>441</v>
      </c>
      <c r="I516" s="2169" t="s">
        <v>1084</v>
      </c>
      <c r="J516" s="1348" t="s">
        <v>1126</v>
      </c>
      <c r="K516" s="544"/>
      <c r="L516" s="927" t="s">
        <v>2</v>
      </c>
      <c r="M516" s="1927">
        <v>478.45046000000002</v>
      </c>
      <c r="N516" s="1221" t="s">
        <v>441</v>
      </c>
      <c r="O516" s="1221" t="s">
        <v>1084</v>
      </c>
      <c r="P516" s="1348" t="s">
        <v>1126</v>
      </c>
      <c r="Q516" s="544"/>
      <c r="R516" s="927" t="s">
        <v>2</v>
      </c>
      <c r="S516" s="1927">
        <v>1206.30438</v>
      </c>
      <c r="T516" s="1221" t="s">
        <v>441</v>
      </c>
      <c r="U516" s="1221" t="s">
        <v>1084</v>
      </c>
      <c r="V516" s="1348" t="s">
        <v>1126</v>
      </c>
      <c r="W516" s="544"/>
      <c r="X516" s="927" t="s">
        <v>2</v>
      </c>
      <c r="Y516" s="1927">
        <v>1256.9691600000001</v>
      </c>
      <c r="Z516" s="1221" t="s">
        <v>441</v>
      </c>
      <c r="AA516" s="1221" t="s">
        <v>1084</v>
      </c>
      <c r="AB516" s="1348" t="s">
        <v>1126</v>
      </c>
      <c r="AC516" s="544"/>
      <c r="AD516" s="927" t="s">
        <v>2</v>
      </c>
      <c r="AE516" s="1642">
        <v>840.06939</v>
      </c>
      <c r="AF516" s="605"/>
      <c r="AG516" s="878"/>
      <c r="AH516" s="878"/>
      <c r="AI516" s="878"/>
      <c r="AJ516" s="878"/>
      <c r="AK516" s="878"/>
      <c r="AL516" s="878"/>
      <c r="AM516" s="878"/>
      <c r="AN516" s="878"/>
      <c r="AO516" s="878"/>
      <c r="AP516" s="878"/>
      <c r="AQ516" s="878"/>
      <c r="AR516" s="1216" t="s">
        <v>1393</v>
      </c>
    </row>
    <row r="517" spans="1:44" s="312" customFormat="1" ht="72" customHeight="1" thickBot="1" x14ac:dyDescent="0.3">
      <c r="A517" s="1820"/>
      <c r="B517" s="1248"/>
      <c r="C517" s="1908"/>
      <c r="D517" s="1398"/>
      <c r="E517" s="1588"/>
      <c r="F517" s="1398"/>
      <c r="G517" s="1588"/>
      <c r="H517" s="1275"/>
      <c r="I517" s="1599"/>
      <c r="J517" s="1576"/>
      <c r="K517" s="1046"/>
      <c r="L517" s="880" t="s">
        <v>3</v>
      </c>
      <c r="M517" s="1937"/>
      <c r="N517" s="1218"/>
      <c r="O517" s="1218"/>
      <c r="P517" s="1349"/>
      <c r="Q517" s="788"/>
      <c r="R517" s="896" t="s">
        <v>3</v>
      </c>
      <c r="S517" s="1928"/>
      <c r="T517" s="1218"/>
      <c r="U517" s="1218"/>
      <c r="V517" s="1349"/>
      <c r="W517" s="788"/>
      <c r="X517" s="896" t="s">
        <v>3</v>
      </c>
      <c r="Y517" s="1928"/>
      <c r="Z517" s="1218"/>
      <c r="AA517" s="1218"/>
      <c r="AB517" s="1349"/>
      <c r="AC517" s="788"/>
      <c r="AD517" s="896" t="s">
        <v>3</v>
      </c>
      <c r="AE517" s="1643"/>
      <c r="AF517" s="605"/>
      <c r="AG517" s="878"/>
      <c r="AH517" s="878"/>
      <c r="AI517" s="878"/>
      <c r="AJ517" s="878"/>
      <c r="AK517" s="878"/>
      <c r="AL517" s="878"/>
      <c r="AM517" s="878"/>
      <c r="AN517" s="878"/>
      <c r="AO517" s="878"/>
      <c r="AP517" s="878"/>
      <c r="AQ517" s="878"/>
      <c r="AR517" s="1217"/>
    </row>
    <row r="518" spans="1:44" s="312" customFormat="1" ht="47.65" customHeight="1" x14ac:dyDescent="0.25">
      <c r="A518" s="1262">
        <f t="shared" ref="A518" si="11">A514+1</f>
        <v>5</v>
      </c>
      <c r="B518" s="1247" t="s">
        <v>297</v>
      </c>
      <c r="C518" s="1808" t="s">
        <v>74</v>
      </c>
      <c r="D518" s="1397">
        <v>1.54</v>
      </c>
      <c r="E518" s="1636">
        <v>17879.400000000001</v>
      </c>
      <c r="F518" s="1397">
        <v>1.54</v>
      </c>
      <c r="G518" s="1636">
        <v>17879.400000000001</v>
      </c>
      <c r="H518" s="1221" t="s">
        <v>441</v>
      </c>
      <c r="I518" s="2169" t="s">
        <v>1195</v>
      </c>
      <c r="J518" s="1634" t="s">
        <v>43</v>
      </c>
      <c r="K518" s="544">
        <v>1.51</v>
      </c>
      <c r="L518" s="927" t="s">
        <v>2</v>
      </c>
      <c r="M518" s="1642">
        <v>21185.227480000001</v>
      </c>
      <c r="N518" s="321"/>
      <c r="O518" s="1081"/>
      <c r="P518" s="1081"/>
      <c r="Q518" s="1081"/>
      <c r="R518" s="1081"/>
      <c r="S518" s="898"/>
      <c r="T518" s="911"/>
      <c r="U518" s="911"/>
      <c r="V518" s="911"/>
      <c r="W518" s="911"/>
      <c r="X518" s="911"/>
      <c r="Y518" s="911"/>
      <c r="Z518" s="911"/>
      <c r="AA518" s="911"/>
      <c r="AB518" s="911"/>
      <c r="AC518" s="911"/>
      <c r="AD518" s="911"/>
      <c r="AE518" s="911"/>
      <c r="AF518" s="878"/>
      <c r="AG518" s="878"/>
      <c r="AH518" s="878"/>
      <c r="AI518" s="878"/>
      <c r="AJ518" s="878"/>
      <c r="AK518" s="878"/>
      <c r="AL518" s="878"/>
      <c r="AM518" s="878"/>
      <c r="AN518" s="878"/>
      <c r="AO518" s="878"/>
      <c r="AP518" s="878"/>
      <c r="AQ518" s="878"/>
      <c r="AR518" s="1285" t="s">
        <v>1194</v>
      </c>
    </row>
    <row r="519" spans="1:44" s="312" customFormat="1" ht="47.65" customHeight="1" thickBot="1" x14ac:dyDescent="0.3">
      <c r="A519" s="1254"/>
      <c r="B519" s="1248"/>
      <c r="C519" s="1781"/>
      <c r="D519" s="1398"/>
      <c r="E519" s="1637"/>
      <c r="F519" s="1398"/>
      <c r="G519" s="1637"/>
      <c r="H519" s="1218"/>
      <c r="I519" s="2170"/>
      <c r="J519" s="1635"/>
      <c r="K519" s="788">
        <v>17546</v>
      </c>
      <c r="L519" s="896" t="s">
        <v>3</v>
      </c>
      <c r="M519" s="1643"/>
      <c r="N519" s="310"/>
      <c r="O519" s="928"/>
      <c r="P519" s="928"/>
      <c r="Q519" s="928"/>
      <c r="R519" s="928"/>
      <c r="S519" s="897"/>
      <c r="T519" s="878"/>
      <c r="U519" s="878"/>
      <c r="V519" s="878"/>
      <c r="W519" s="878"/>
      <c r="X519" s="878"/>
      <c r="Y519" s="878"/>
      <c r="Z519" s="878"/>
      <c r="AA519" s="878"/>
      <c r="AB519" s="878"/>
      <c r="AC519" s="878"/>
      <c r="AD519" s="878"/>
      <c r="AE519" s="878"/>
      <c r="AF519" s="878"/>
      <c r="AG519" s="878"/>
      <c r="AH519" s="878"/>
      <c r="AI519" s="878"/>
      <c r="AJ519" s="878"/>
      <c r="AK519" s="878"/>
      <c r="AL519" s="878"/>
      <c r="AM519" s="878"/>
      <c r="AN519" s="878"/>
      <c r="AO519" s="878"/>
      <c r="AP519" s="878"/>
      <c r="AQ519" s="878"/>
      <c r="AR519" s="1213"/>
    </row>
    <row r="520" spans="1:44" s="312" customFormat="1" ht="18" customHeight="1" x14ac:dyDescent="0.25">
      <c r="A520" s="1262">
        <f>A518+1</f>
        <v>6</v>
      </c>
      <c r="B520" s="1247" t="s">
        <v>298</v>
      </c>
      <c r="C520" s="1808" t="s">
        <v>490</v>
      </c>
      <c r="D520" s="1246">
        <v>0.57199999999999995</v>
      </c>
      <c r="E520" s="1587">
        <v>7378.8</v>
      </c>
      <c r="F520" s="1397">
        <v>0.57199999999999995</v>
      </c>
      <c r="G520" s="1587">
        <v>7378.8</v>
      </c>
      <c r="H520" s="1221" t="s">
        <v>1090</v>
      </c>
      <c r="I520" s="2169" t="s">
        <v>1096</v>
      </c>
      <c r="J520" s="1634" t="s">
        <v>43</v>
      </c>
      <c r="K520" s="544">
        <v>0.27</v>
      </c>
      <c r="L520" s="927" t="s">
        <v>2</v>
      </c>
      <c r="M520" s="1642">
        <v>3524.2233900000001</v>
      </c>
      <c r="N520" s="310"/>
      <c r="O520" s="928"/>
      <c r="P520" s="928"/>
      <c r="Q520" s="928"/>
      <c r="R520" s="928"/>
      <c r="S520" s="897"/>
      <c r="T520" s="878"/>
      <c r="U520" s="878"/>
      <c r="V520" s="878"/>
      <c r="W520" s="878"/>
      <c r="X520" s="878"/>
      <c r="Y520" s="878"/>
      <c r="Z520" s="878"/>
      <c r="AA520" s="878"/>
      <c r="AB520" s="878"/>
      <c r="AC520" s="878"/>
      <c r="AD520" s="878"/>
      <c r="AE520" s="878"/>
      <c r="AF520" s="878"/>
      <c r="AG520" s="878"/>
      <c r="AH520" s="878"/>
      <c r="AI520" s="878"/>
      <c r="AJ520" s="878"/>
      <c r="AK520" s="878"/>
      <c r="AL520" s="878"/>
      <c r="AM520" s="878"/>
      <c r="AN520" s="878"/>
      <c r="AO520" s="878"/>
      <c r="AP520" s="878"/>
      <c r="AQ520" s="878"/>
      <c r="AR520" s="878"/>
    </row>
    <row r="521" spans="1:44" s="312" customFormat="1" ht="16.7" customHeight="1" thickBot="1" x14ac:dyDescent="0.3">
      <c r="A521" s="1254"/>
      <c r="B521" s="1248"/>
      <c r="C521" s="1781"/>
      <c r="D521" s="1236"/>
      <c r="E521" s="1588"/>
      <c r="F521" s="1398"/>
      <c r="G521" s="1588"/>
      <c r="H521" s="1218"/>
      <c r="I521" s="2170"/>
      <c r="J521" s="1635"/>
      <c r="K521" s="788">
        <v>3686</v>
      </c>
      <c r="L521" s="896" t="s">
        <v>3</v>
      </c>
      <c r="M521" s="1643"/>
      <c r="N521" s="310"/>
      <c r="O521" s="928"/>
      <c r="P521" s="928"/>
      <c r="Q521" s="928"/>
      <c r="R521" s="928"/>
      <c r="S521" s="897"/>
      <c r="T521" s="878"/>
      <c r="U521" s="878"/>
      <c r="V521" s="878"/>
      <c r="W521" s="878"/>
      <c r="X521" s="878"/>
      <c r="Y521" s="878"/>
      <c r="Z521" s="878"/>
      <c r="AA521" s="878"/>
      <c r="AB521" s="878"/>
      <c r="AC521" s="878"/>
      <c r="AD521" s="878"/>
      <c r="AE521" s="878"/>
      <c r="AF521" s="878"/>
      <c r="AG521" s="878"/>
      <c r="AH521" s="878"/>
      <c r="AI521" s="878"/>
      <c r="AJ521" s="878"/>
      <c r="AK521" s="878"/>
      <c r="AL521" s="878"/>
      <c r="AM521" s="878"/>
      <c r="AN521" s="878"/>
      <c r="AO521" s="878"/>
      <c r="AP521" s="878"/>
      <c r="AQ521" s="878"/>
      <c r="AR521" s="878"/>
    </row>
    <row r="522" spans="1:44" s="312" customFormat="1" ht="25.15" customHeight="1" x14ac:dyDescent="0.25">
      <c r="A522" s="1262">
        <f>A520+1</f>
        <v>7</v>
      </c>
      <c r="B522" s="1247" t="s">
        <v>299</v>
      </c>
      <c r="C522" s="1808" t="s">
        <v>75</v>
      </c>
      <c r="D522" s="1246">
        <v>0.36099999999999999</v>
      </c>
      <c r="E522" s="1587">
        <f>4031+5087</f>
        <v>9118</v>
      </c>
      <c r="F522" s="1397">
        <v>0.36099999999999999</v>
      </c>
      <c r="G522" s="1587">
        <f>4031+5087</f>
        <v>9118</v>
      </c>
      <c r="H522" s="1221" t="s">
        <v>1097</v>
      </c>
      <c r="I522" s="2169" t="s">
        <v>1090</v>
      </c>
      <c r="J522" s="1634" t="s">
        <v>43</v>
      </c>
      <c r="K522" s="544">
        <v>0.29499999999999998</v>
      </c>
      <c r="L522" s="927" t="s">
        <v>2</v>
      </c>
      <c r="M522" s="1642">
        <v>8790.8890100000008</v>
      </c>
      <c r="N522" s="310"/>
      <c r="O522" s="928"/>
      <c r="P522" s="928"/>
      <c r="Q522" s="928"/>
      <c r="R522" s="928"/>
      <c r="S522" s="897"/>
      <c r="T522" s="878"/>
      <c r="U522" s="878"/>
      <c r="V522" s="878"/>
      <c r="W522" s="878"/>
      <c r="X522" s="878"/>
      <c r="Y522" s="878"/>
      <c r="Z522" s="878"/>
      <c r="AA522" s="878"/>
      <c r="AB522" s="878"/>
      <c r="AC522" s="878"/>
      <c r="AD522" s="878"/>
      <c r="AE522" s="878"/>
      <c r="AF522" s="878"/>
      <c r="AG522" s="878"/>
      <c r="AH522" s="878"/>
      <c r="AI522" s="878"/>
      <c r="AJ522" s="878"/>
      <c r="AK522" s="878"/>
      <c r="AL522" s="878"/>
      <c r="AM522" s="878"/>
      <c r="AN522" s="878"/>
      <c r="AO522" s="878"/>
      <c r="AP522" s="878"/>
      <c r="AQ522" s="878"/>
      <c r="AR522" s="878"/>
    </row>
    <row r="523" spans="1:44" s="312" customFormat="1" ht="19.899999999999999" customHeight="1" thickBot="1" x14ac:dyDescent="0.3">
      <c r="A523" s="1254"/>
      <c r="B523" s="1248"/>
      <c r="C523" s="1781"/>
      <c r="D523" s="1236"/>
      <c r="E523" s="1588"/>
      <c r="F523" s="1398"/>
      <c r="G523" s="1588"/>
      <c r="H523" s="1218"/>
      <c r="I523" s="2170"/>
      <c r="J523" s="1635"/>
      <c r="K523" s="788">
        <v>9160</v>
      </c>
      <c r="L523" s="896" t="s">
        <v>3</v>
      </c>
      <c r="M523" s="1643"/>
      <c r="N523" s="310"/>
      <c r="O523" s="928"/>
      <c r="P523" s="928"/>
      <c r="Q523" s="928"/>
      <c r="R523" s="928"/>
      <c r="S523" s="897"/>
      <c r="T523" s="878"/>
      <c r="U523" s="878"/>
      <c r="V523" s="878"/>
      <c r="W523" s="878"/>
      <c r="X523" s="878"/>
      <c r="Y523" s="878"/>
      <c r="Z523" s="878"/>
      <c r="AA523" s="878"/>
      <c r="AB523" s="878"/>
      <c r="AC523" s="878"/>
      <c r="AD523" s="878"/>
      <c r="AE523" s="878"/>
      <c r="AF523" s="878"/>
      <c r="AG523" s="878"/>
      <c r="AH523" s="878"/>
      <c r="AI523" s="878"/>
      <c r="AJ523" s="878"/>
      <c r="AK523" s="878"/>
      <c r="AL523" s="878"/>
      <c r="AM523" s="878"/>
      <c r="AN523" s="878"/>
      <c r="AO523" s="878"/>
      <c r="AP523" s="878"/>
      <c r="AQ523" s="878"/>
      <c r="AR523" s="878"/>
    </row>
    <row r="524" spans="1:44" s="312" customFormat="1" ht="25.15" customHeight="1" x14ac:dyDescent="0.25">
      <c r="A524" s="1819">
        <f>A522+1</f>
        <v>8</v>
      </c>
      <c r="B524" s="1826" t="s">
        <v>300</v>
      </c>
      <c r="C524" s="1780" t="s">
        <v>76</v>
      </c>
      <c r="D524" s="1303">
        <v>0.501</v>
      </c>
      <c r="E524" s="1270">
        <v>4720</v>
      </c>
      <c r="F524" s="1577">
        <v>0.501</v>
      </c>
      <c r="G524" s="1270">
        <v>4720</v>
      </c>
      <c r="H524" s="1221" t="s">
        <v>1098</v>
      </c>
      <c r="I524" s="2169" t="s">
        <v>1099</v>
      </c>
      <c r="J524" s="1634" t="s">
        <v>43</v>
      </c>
      <c r="K524" s="544">
        <v>0.28000000000000003</v>
      </c>
      <c r="L524" s="927" t="s">
        <v>2</v>
      </c>
      <c r="M524" s="1642">
        <v>1906.14111</v>
      </c>
      <c r="N524" s="310"/>
      <c r="O524" s="928"/>
      <c r="P524" s="928"/>
      <c r="Q524" s="928"/>
      <c r="R524" s="928"/>
      <c r="S524" s="897"/>
      <c r="T524" s="878"/>
      <c r="U524" s="878"/>
      <c r="V524" s="878"/>
      <c r="W524" s="878"/>
      <c r="X524" s="878"/>
      <c r="Y524" s="878"/>
      <c r="Z524" s="878"/>
      <c r="AA524" s="878"/>
      <c r="AB524" s="878"/>
      <c r="AC524" s="878"/>
      <c r="AD524" s="878"/>
      <c r="AE524" s="878"/>
      <c r="AF524" s="878"/>
      <c r="AG524" s="878"/>
      <c r="AH524" s="878"/>
      <c r="AI524" s="878"/>
      <c r="AJ524" s="878"/>
      <c r="AK524" s="878"/>
      <c r="AL524" s="878"/>
      <c r="AM524" s="878"/>
      <c r="AN524" s="878"/>
      <c r="AO524" s="878"/>
      <c r="AP524" s="878"/>
      <c r="AQ524" s="878"/>
      <c r="AR524" s="1285"/>
    </row>
    <row r="525" spans="1:44" s="312" customFormat="1" ht="16.7" customHeight="1" thickBot="1" x14ac:dyDescent="0.3">
      <c r="A525" s="1365"/>
      <c r="B525" s="1298"/>
      <c r="C525" s="1699"/>
      <c r="D525" s="1220"/>
      <c r="E525" s="1559"/>
      <c r="F525" s="1543"/>
      <c r="G525" s="1559"/>
      <c r="H525" s="1275"/>
      <c r="I525" s="1599"/>
      <c r="J525" s="1641"/>
      <c r="K525" s="1046">
        <v>2557</v>
      </c>
      <c r="L525" s="880" t="s">
        <v>3</v>
      </c>
      <c r="M525" s="2146"/>
      <c r="N525" s="318"/>
      <c r="O525" s="1078"/>
      <c r="P525" s="1078"/>
      <c r="Q525" s="1078"/>
      <c r="R525" s="1078"/>
      <c r="S525" s="1025"/>
      <c r="T525" s="878"/>
      <c r="U525" s="878"/>
      <c r="V525" s="878"/>
      <c r="W525" s="878"/>
      <c r="X525" s="878"/>
      <c r="Y525" s="878"/>
      <c r="Z525" s="878"/>
      <c r="AA525" s="878"/>
      <c r="AB525" s="878"/>
      <c r="AC525" s="878"/>
      <c r="AD525" s="878"/>
      <c r="AE525" s="878"/>
      <c r="AF525" s="878"/>
      <c r="AG525" s="878"/>
      <c r="AH525" s="878"/>
      <c r="AI525" s="878"/>
      <c r="AJ525" s="878"/>
      <c r="AK525" s="878"/>
      <c r="AL525" s="878"/>
      <c r="AM525" s="878"/>
      <c r="AN525" s="878"/>
      <c r="AO525" s="878"/>
      <c r="AP525" s="878"/>
      <c r="AQ525" s="878"/>
      <c r="AR525" s="1213"/>
    </row>
    <row r="526" spans="1:44" s="312" customFormat="1" ht="18" customHeight="1" x14ac:dyDescent="0.25">
      <c r="A526" s="1365"/>
      <c r="B526" s="1298"/>
      <c r="C526" s="1699"/>
      <c r="D526" s="1220"/>
      <c r="E526" s="1559"/>
      <c r="F526" s="1543"/>
      <c r="G526" s="1559"/>
      <c r="H526" s="874"/>
      <c r="I526" s="874"/>
      <c r="J526" s="878"/>
      <c r="K526" s="1113"/>
      <c r="L526" s="878"/>
      <c r="M526" s="1177"/>
      <c r="N526" s="2261" t="s">
        <v>1097</v>
      </c>
      <c r="O526" s="1227" t="s">
        <v>1103</v>
      </c>
      <c r="P526" s="1238" t="s">
        <v>43</v>
      </c>
      <c r="Q526" s="544">
        <f>0.26-0.26</f>
        <v>0</v>
      </c>
      <c r="R526" s="927" t="s">
        <v>2</v>
      </c>
      <c r="S526" s="2167">
        <f>2577.39128-S528-S529</f>
        <v>2463.1421599999999</v>
      </c>
      <c r="T526" s="605"/>
      <c r="U526" s="878"/>
      <c r="V526" s="878"/>
      <c r="W526" s="878"/>
      <c r="X526" s="878"/>
      <c r="Y526" s="878"/>
      <c r="Z526" s="878"/>
      <c r="AA526" s="878"/>
      <c r="AB526" s="878"/>
      <c r="AC526" s="878"/>
      <c r="AD526" s="878"/>
      <c r="AE526" s="878"/>
      <c r="AF526" s="878"/>
      <c r="AG526" s="878"/>
      <c r="AH526" s="878"/>
      <c r="AI526" s="878"/>
      <c r="AJ526" s="878"/>
      <c r="AK526" s="878"/>
      <c r="AL526" s="878"/>
      <c r="AM526" s="878"/>
      <c r="AN526" s="878"/>
      <c r="AO526" s="878"/>
      <c r="AP526" s="878"/>
      <c r="AQ526" s="878"/>
      <c r="AR526" s="1285"/>
    </row>
    <row r="527" spans="1:44" s="312" customFormat="1" ht="23.1" customHeight="1" x14ac:dyDescent="0.25">
      <c r="A527" s="1365"/>
      <c r="B527" s="1298"/>
      <c r="C527" s="1699"/>
      <c r="D527" s="1220"/>
      <c r="E527" s="1559"/>
      <c r="F527" s="1543"/>
      <c r="G527" s="1559"/>
      <c r="H527" s="874"/>
      <c r="I527" s="874"/>
      <c r="J527" s="878"/>
      <c r="K527" s="1113"/>
      <c r="L527" s="878"/>
      <c r="M527" s="1177"/>
      <c r="N527" s="2262"/>
      <c r="O527" s="1215"/>
      <c r="P527" s="1233"/>
      <c r="Q527" s="1113">
        <v>2049</v>
      </c>
      <c r="R527" s="878" t="s">
        <v>3</v>
      </c>
      <c r="S527" s="2168"/>
      <c r="T527" s="605"/>
      <c r="U527" s="878"/>
      <c r="V527" s="878"/>
      <c r="W527" s="878"/>
      <c r="X527" s="878"/>
      <c r="Y527" s="878"/>
      <c r="Z527" s="878"/>
      <c r="AA527" s="878"/>
      <c r="AB527" s="878"/>
      <c r="AC527" s="878"/>
      <c r="AD527" s="878"/>
      <c r="AE527" s="878"/>
      <c r="AF527" s="878"/>
      <c r="AG527" s="878"/>
      <c r="AH527" s="878"/>
      <c r="AI527" s="878"/>
      <c r="AJ527" s="878"/>
      <c r="AK527" s="878"/>
      <c r="AL527" s="878"/>
      <c r="AM527" s="878"/>
      <c r="AN527" s="878"/>
      <c r="AO527" s="878"/>
      <c r="AP527" s="878"/>
      <c r="AQ527" s="878"/>
      <c r="AR527" s="1213"/>
    </row>
    <row r="528" spans="1:44" s="312" customFormat="1" ht="23.1" customHeight="1" x14ac:dyDescent="0.25">
      <c r="A528" s="1365"/>
      <c r="B528" s="1298"/>
      <c r="C528" s="1699"/>
      <c r="D528" s="1220"/>
      <c r="E528" s="1559"/>
      <c r="F528" s="1543"/>
      <c r="G528" s="1559"/>
      <c r="H528" s="874"/>
      <c r="I528" s="874"/>
      <c r="J528" s="878"/>
      <c r="K528" s="1113"/>
      <c r="L528" s="878"/>
      <c r="M528" s="1177"/>
      <c r="N528" s="2262"/>
      <c r="O528" s="1215"/>
      <c r="P528" s="516" t="s">
        <v>6</v>
      </c>
      <c r="Q528" s="520">
        <v>0.26</v>
      </c>
      <c r="R528" s="237" t="s">
        <v>2</v>
      </c>
      <c r="S528" s="521">
        <v>2.9459499999999998</v>
      </c>
      <c r="T528" s="605"/>
      <c r="U528" s="878"/>
      <c r="V528" s="878"/>
      <c r="W528" s="878"/>
      <c r="X528" s="878"/>
      <c r="Y528" s="878"/>
      <c r="Z528" s="878"/>
      <c r="AA528" s="878"/>
      <c r="AB528" s="878"/>
      <c r="AC528" s="878"/>
      <c r="AD528" s="878"/>
      <c r="AE528" s="878"/>
      <c r="AF528" s="878"/>
      <c r="AG528" s="878"/>
      <c r="AH528" s="878"/>
      <c r="AI528" s="878"/>
      <c r="AJ528" s="878"/>
      <c r="AK528" s="878"/>
      <c r="AL528" s="878"/>
      <c r="AM528" s="878"/>
      <c r="AN528" s="878"/>
      <c r="AO528" s="878"/>
      <c r="AP528" s="878"/>
      <c r="AQ528" s="878"/>
      <c r="AR528" s="911"/>
    </row>
    <row r="529" spans="1:86" s="312" customFormat="1" ht="103.5" customHeight="1" thickBot="1" x14ac:dyDescent="0.3">
      <c r="A529" s="1820"/>
      <c r="B529" s="1248"/>
      <c r="C529" s="1781"/>
      <c r="D529" s="1236"/>
      <c r="E529" s="1588"/>
      <c r="F529" s="1398"/>
      <c r="G529" s="1588"/>
      <c r="H529" s="874"/>
      <c r="I529" s="874"/>
      <c r="J529" s="878"/>
      <c r="K529" s="1113"/>
      <c r="L529" s="878"/>
      <c r="M529" s="1177"/>
      <c r="N529" s="2263"/>
      <c r="O529" s="1292"/>
      <c r="P529" s="304" t="s">
        <v>1398</v>
      </c>
      <c r="Q529" s="884">
        <v>6.3</v>
      </c>
      <c r="R529" s="884" t="s">
        <v>4</v>
      </c>
      <c r="S529" s="562">
        <v>111.30316999999999</v>
      </c>
      <c r="T529" s="605"/>
      <c r="U529" s="878"/>
      <c r="V529" s="878"/>
      <c r="W529" s="878"/>
      <c r="X529" s="878"/>
      <c r="Y529" s="878"/>
      <c r="Z529" s="878"/>
      <c r="AA529" s="878"/>
      <c r="AB529" s="878"/>
      <c r="AC529" s="878"/>
      <c r="AD529" s="878"/>
      <c r="AE529" s="878"/>
      <c r="AF529" s="878"/>
      <c r="AG529" s="878"/>
      <c r="AH529" s="878"/>
      <c r="AI529" s="878"/>
      <c r="AJ529" s="878"/>
      <c r="AK529" s="878"/>
      <c r="AL529" s="878"/>
      <c r="AM529" s="878"/>
      <c r="AN529" s="878"/>
      <c r="AO529" s="878"/>
      <c r="AP529" s="878"/>
      <c r="AQ529" s="878"/>
      <c r="AR529" s="911"/>
    </row>
    <row r="530" spans="1:86" s="312" customFormat="1" ht="26.65" customHeight="1" x14ac:dyDescent="0.25">
      <c r="A530" s="1262">
        <f>A524+1</f>
        <v>9</v>
      </c>
      <c r="B530" s="1247" t="s">
        <v>301</v>
      </c>
      <c r="C530" s="1808" t="s">
        <v>77</v>
      </c>
      <c r="D530" s="1246">
        <v>0.41099999999999998</v>
      </c>
      <c r="E530" s="1587">
        <f>2520+1140</f>
        <v>3660</v>
      </c>
      <c r="F530" s="1397">
        <v>0.41099999999999998</v>
      </c>
      <c r="G530" s="1587">
        <f>2520+1140</f>
        <v>3660</v>
      </c>
      <c r="H530" s="1275" t="s">
        <v>1098</v>
      </c>
      <c r="I530" s="1599" t="s">
        <v>1100</v>
      </c>
      <c r="J530" s="1641" t="s">
        <v>43</v>
      </c>
      <c r="K530" s="1012">
        <v>0.41099999999999998</v>
      </c>
      <c r="L530" s="1081" t="s">
        <v>2</v>
      </c>
      <c r="M530" s="2146">
        <v>3655.7643600000001</v>
      </c>
      <c r="N530" s="348"/>
      <c r="O530" s="1081"/>
      <c r="P530" s="1081"/>
      <c r="Q530" s="1081"/>
      <c r="R530" s="1081"/>
      <c r="S530" s="898"/>
      <c r="T530" s="878"/>
      <c r="U530" s="878"/>
      <c r="V530" s="878"/>
      <c r="W530" s="878"/>
      <c r="X530" s="878"/>
      <c r="Y530" s="878"/>
      <c r="Z530" s="878"/>
      <c r="AA530" s="878"/>
      <c r="AB530" s="878"/>
      <c r="AC530" s="878"/>
      <c r="AD530" s="878"/>
      <c r="AE530" s="878"/>
      <c r="AF530" s="878"/>
      <c r="AG530" s="878"/>
      <c r="AH530" s="878"/>
      <c r="AI530" s="878"/>
      <c r="AJ530" s="878"/>
      <c r="AK530" s="878"/>
      <c r="AL530" s="878"/>
      <c r="AM530" s="878"/>
      <c r="AN530" s="878"/>
      <c r="AO530" s="878"/>
      <c r="AP530" s="878"/>
      <c r="AQ530" s="878"/>
      <c r="AR530" s="878"/>
    </row>
    <row r="531" spans="1:86" s="312" customFormat="1" ht="22.15" customHeight="1" thickBot="1" x14ac:dyDescent="0.3">
      <c r="A531" s="1254"/>
      <c r="B531" s="1248"/>
      <c r="C531" s="1781"/>
      <c r="D531" s="1236"/>
      <c r="E531" s="1588"/>
      <c r="F531" s="1398"/>
      <c r="G531" s="1588"/>
      <c r="H531" s="1218"/>
      <c r="I531" s="2170"/>
      <c r="J531" s="1635"/>
      <c r="K531" s="788">
        <v>3690</v>
      </c>
      <c r="L531" s="896" t="s">
        <v>3</v>
      </c>
      <c r="M531" s="1643"/>
      <c r="N531" s="300"/>
      <c r="O531" s="928"/>
      <c r="P531" s="928"/>
      <c r="Q531" s="928"/>
      <c r="R531" s="928"/>
      <c r="S531" s="897"/>
      <c r="T531" s="878"/>
      <c r="U531" s="878"/>
      <c r="V531" s="878"/>
      <c r="W531" s="878"/>
      <c r="X531" s="878"/>
      <c r="Y531" s="878"/>
      <c r="Z531" s="878"/>
      <c r="AA531" s="878"/>
      <c r="AB531" s="878"/>
      <c r="AC531" s="878"/>
      <c r="AD531" s="878"/>
      <c r="AE531" s="878"/>
      <c r="AF531" s="878"/>
      <c r="AG531" s="878"/>
      <c r="AH531" s="878"/>
      <c r="AI531" s="878"/>
      <c r="AJ531" s="878"/>
      <c r="AK531" s="878"/>
      <c r="AL531" s="878"/>
      <c r="AM531" s="878"/>
      <c r="AN531" s="878"/>
      <c r="AO531" s="878"/>
      <c r="AP531" s="878"/>
      <c r="AQ531" s="878"/>
      <c r="AR531" s="878"/>
    </row>
    <row r="532" spans="1:86" s="312" customFormat="1" ht="23.1" customHeight="1" x14ac:dyDescent="0.25">
      <c r="A532" s="1819">
        <f>A530+1</f>
        <v>10</v>
      </c>
      <c r="B532" s="1296" t="s">
        <v>395</v>
      </c>
      <c r="C532" s="1808" t="s">
        <v>447</v>
      </c>
      <c r="D532" s="1397">
        <v>2.5</v>
      </c>
      <c r="E532" s="1587">
        <f>16398+2276</f>
        <v>18674</v>
      </c>
      <c r="F532" s="1397">
        <v>2.5</v>
      </c>
      <c r="G532" s="1587">
        <f>16398+2276</f>
        <v>18674</v>
      </c>
      <c r="H532" s="1221" t="s">
        <v>441</v>
      </c>
      <c r="I532" s="1221" t="s">
        <v>1083</v>
      </c>
      <c r="J532" s="1634" t="s">
        <v>43</v>
      </c>
      <c r="K532" s="349">
        <v>1.4359999999999999</v>
      </c>
      <c r="L532" s="966" t="s">
        <v>2</v>
      </c>
      <c r="M532" s="1739">
        <v>9375.1370000000006</v>
      </c>
      <c r="N532" s="300"/>
      <c r="O532" s="302"/>
      <c r="P532" s="288"/>
      <c r="Q532" s="162"/>
      <c r="R532" s="967"/>
      <c r="S532" s="339"/>
      <c r="T532" s="878"/>
      <c r="U532" s="878"/>
      <c r="V532" s="878"/>
      <c r="W532" s="878"/>
      <c r="X532" s="878"/>
      <c r="Y532" s="878"/>
      <c r="Z532" s="878"/>
      <c r="AA532" s="878"/>
      <c r="AB532" s="878"/>
      <c r="AC532" s="878"/>
      <c r="AD532" s="878"/>
      <c r="AE532" s="878"/>
      <c r="AF532" s="878"/>
      <c r="AG532" s="878"/>
      <c r="AH532" s="878"/>
      <c r="AI532" s="878"/>
      <c r="AJ532" s="878"/>
      <c r="AK532" s="878"/>
      <c r="AL532" s="878"/>
      <c r="AM532" s="878"/>
      <c r="AN532" s="878"/>
      <c r="AO532" s="878"/>
      <c r="AP532" s="878"/>
      <c r="AQ532" s="878"/>
      <c r="AR532" s="878"/>
    </row>
    <row r="533" spans="1:86" s="312" customFormat="1" ht="21.2" customHeight="1" thickBot="1" x14ac:dyDescent="0.3">
      <c r="A533" s="1365"/>
      <c r="B533" s="1351"/>
      <c r="C533" s="1699"/>
      <c r="D533" s="1543"/>
      <c r="E533" s="1559"/>
      <c r="F533" s="1543"/>
      <c r="G533" s="1559"/>
      <c r="H533" s="1218"/>
      <c r="I533" s="1218"/>
      <c r="J533" s="1635"/>
      <c r="K533" s="350">
        <v>11200</v>
      </c>
      <c r="L533" s="1107" t="s">
        <v>3</v>
      </c>
      <c r="M533" s="2270"/>
      <c r="N533" s="300"/>
      <c r="O533" s="302"/>
      <c r="P533" s="288"/>
      <c r="Q533" s="212"/>
      <c r="R533" s="967"/>
      <c r="S533" s="339"/>
      <c r="T533" s="878"/>
      <c r="U533" s="878"/>
      <c r="V533" s="878"/>
      <c r="W533" s="878"/>
      <c r="X533" s="878"/>
      <c r="Y533" s="878"/>
      <c r="Z533" s="878"/>
      <c r="AA533" s="878"/>
      <c r="AB533" s="878"/>
      <c r="AC533" s="878"/>
      <c r="AD533" s="878"/>
      <c r="AE533" s="878"/>
      <c r="AF533" s="878"/>
      <c r="AG533" s="878"/>
      <c r="AH533" s="878"/>
      <c r="AI533" s="878"/>
      <c r="AJ533" s="878"/>
      <c r="AK533" s="878"/>
      <c r="AL533" s="878"/>
      <c r="AM533" s="878"/>
      <c r="AN533" s="878"/>
      <c r="AO533" s="878"/>
      <c r="AP533" s="878"/>
      <c r="AQ533" s="878"/>
      <c r="AR533" s="878"/>
    </row>
    <row r="534" spans="1:86" s="312" customFormat="1" ht="37.35" customHeight="1" x14ac:dyDescent="0.25">
      <c r="A534" s="1365"/>
      <c r="B534" s="1351"/>
      <c r="C534" s="1699"/>
      <c r="D534" s="1543"/>
      <c r="E534" s="1559"/>
      <c r="F534" s="1543"/>
      <c r="G534" s="1559"/>
      <c r="H534" s="1221" t="s">
        <v>1083</v>
      </c>
      <c r="I534" s="1221" t="s">
        <v>1197</v>
      </c>
      <c r="J534" s="1634" t="s">
        <v>43</v>
      </c>
      <c r="K534" s="349">
        <v>1.0109999999999999</v>
      </c>
      <c r="L534" s="966" t="s">
        <v>2</v>
      </c>
      <c r="M534" s="1739">
        <v>6439.6220199999998</v>
      </c>
      <c r="N534" s="455"/>
      <c r="O534" s="894"/>
      <c r="P534" s="934"/>
      <c r="Q534" s="212"/>
      <c r="R534" s="967"/>
      <c r="S534" s="1110"/>
      <c r="T534" s="965"/>
      <c r="U534" s="965"/>
      <c r="V534" s="965"/>
      <c r="W534" s="965"/>
      <c r="X534" s="965"/>
      <c r="Y534" s="965"/>
      <c r="Z534" s="965"/>
      <c r="AA534" s="965"/>
      <c r="AB534" s="965"/>
      <c r="AC534" s="965"/>
      <c r="AD534" s="965"/>
      <c r="AE534" s="965"/>
      <c r="AF534" s="965"/>
      <c r="AG534" s="965"/>
      <c r="AH534" s="965"/>
      <c r="AI534" s="965"/>
      <c r="AJ534" s="965"/>
      <c r="AK534" s="965"/>
      <c r="AL534" s="965"/>
      <c r="AM534" s="965"/>
      <c r="AN534" s="965"/>
      <c r="AO534" s="965"/>
      <c r="AP534" s="965"/>
      <c r="AQ534" s="965"/>
      <c r="AR534" s="1285" t="s">
        <v>1196</v>
      </c>
    </row>
    <row r="535" spans="1:86" s="312" customFormat="1" ht="37.35" customHeight="1" thickBot="1" x14ac:dyDescent="0.3">
      <c r="A535" s="1820"/>
      <c r="B535" s="1407"/>
      <c r="C535" s="1781"/>
      <c r="D535" s="1398"/>
      <c r="E535" s="1588"/>
      <c r="F535" s="1398"/>
      <c r="G535" s="1588"/>
      <c r="H535" s="1275"/>
      <c r="I535" s="1275"/>
      <c r="J535" s="1962"/>
      <c r="K535" s="1043">
        <v>7413</v>
      </c>
      <c r="L535" s="932" t="s">
        <v>3</v>
      </c>
      <c r="M535" s="2277"/>
      <c r="N535" s="455"/>
      <c r="O535" s="894"/>
      <c r="P535" s="934"/>
      <c r="Q535" s="212"/>
      <c r="R535" s="967"/>
      <c r="S535" s="1110"/>
      <c r="T535" s="965"/>
      <c r="U535" s="965"/>
      <c r="V535" s="965"/>
      <c r="W535" s="965"/>
      <c r="X535" s="965"/>
      <c r="Y535" s="965"/>
      <c r="Z535" s="965"/>
      <c r="AA535" s="965"/>
      <c r="AB535" s="965"/>
      <c r="AC535" s="965"/>
      <c r="AD535" s="965"/>
      <c r="AE535" s="965"/>
      <c r="AF535" s="965"/>
      <c r="AG535" s="965"/>
      <c r="AH535" s="965"/>
      <c r="AI535" s="965"/>
      <c r="AJ535" s="965"/>
      <c r="AK535" s="965"/>
      <c r="AL535" s="965"/>
      <c r="AM535" s="965"/>
      <c r="AN535" s="965"/>
      <c r="AO535" s="965"/>
      <c r="AP535" s="965"/>
      <c r="AQ535" s="965"/>
      <c r="AR535" s="1213"/>
    </row>
    <row r="536" spans="1:86" s="193" customFormat="1" ht="35.65" customHeight="1" x14ac:dyDescent="0.25">
      <c r="A536" s="1897">
        <v>11</v>
      </c>
      <c r="B536" s="1296" t="s">
        <v>394</v>
      </c>
      <c r="C536" s="1808" t="s">
        <v>446</v>
      </c>
      <c r="D536" s="1397">
        <v>0.73</v>
      </c>
      <c r="E536" s="1795">
        <f>6650+3410</f>
        <v>10060</v>
      </c>
      <c r="F536" s="1397">
        <v>0.73</v>
      </c>
      <c r="G536" s="1795">
        <f>6650+3410</f>
        <v>10060</v>
      </c>
      <c r="H536" s="1221" t="s">
        <v>441</v>
      </c>
      <c r="I536" s="1221" t="s">
        <v>1199</v>
      </c>
      <c r="J536" s="1634" t="s">
        <v>43</v>
      </c>
      <c r="K536" s="349">
        <v>0.73</v>
      </c>
      <c r="L536" s="966" t="s">
        <v>2</v>
      </c>
      <c r="M536" s="1739">
        <v>11719.98245</v>
      </c>
      <c r="N536" s="300"/>
      <c r="O536" s="302"/>
      <c r="P536" s="288"/>
      <c r="Q536" s="162"/>
      <c r="R536" s="967"/>
      <c r="S536" s="339"/>
      <c r="T536" s="2525"/>
      <c r="U536" s="1350"/>
      <c r="V536" s="1350"/>
      <c r="W536" s="1350"/>
      <c r="X536" s="1350"/>
      <c r="Y536" s="1350"/>
      <c r="Z536" s="1350"/>
      <c r="AA536" s="1350"/>
      <c r="AB536" s="1350"/>
      <c r="AC536" s="1350"/>
      <c r="AD536" s="1350"/>
      <c r="AE536" s="1350"/>
      <c r="AF536" s="1350"/>
      <c r="AG536" s="1350"/>
      <c r="AH536" s="1350"/>
      <c r="AI536" s="1350"/>
      <c r="AJ536" s="1350"/>
      <c r="AK536" s="1350"/>
      <c r="AL536" s="1350"/>
      <c r="AM536" s="1350"/>
      <c r="AN536" s="1350"/>
      <c r="AO536" s="1350"/>
      <c r="AP536" s="1746"/>
      <c r="AQ536" s="1746"/>
      <c r="AR536" s="1285" t="s">
        <v>1198</v>
      </c>
      <c r="AS536" s="340"/>
      <c r="AT536" s="340"/>
      <c r="AU536" s="340"/>
      <c r="AV536" s="340"/>
      <c r="AW536" s="340"/>
      <c r="AX536" s="340"/>
      <c r="AY536" s="340"/>
      <c r="AZ536" s="340"/>
      <c r="BA536" s="340"/>
      <c r="BB536" s="340"/>
      <c r="BC536" s="340"/>
      <c r="BD536" s="340"/>
      <c r="BE536" s="340"/>
      <c r="BF536" s="340"/>
      <c r="BG536" s="340"/>
      <c r="BH536" s="340"/>
      <c r="BI536" s="340"/>
      <c r="BJ536" s="340"/>
      <c r="BK536" s="340"/>
      <c r="BL536" s="340"/>
      <c r="BM536" s="340"/>
      <c r="BN536" s="340"/>
      <c r="BO536" s="340"/>
      <c r="BP536" s="340"/>
      <c r="BQ536" s="340"/>
      <c r="BR536" s="340"/>
      <c r="BS536" s="340"/>
      <c r="BT536" s="340"/>
      <c r="BU536" s="340"/>
      <c r="BV536" s="340"/>
      <c r="BW536" s="340"/>
      <c r="BX536" s="340"/>
      <c r="BY536" s="340"/>
      <c r="BZ536" s="340"/>
      <c r="CA536" s="340"/>
      <c r="CB536" s="340"/>
      <c r="CC536" s="340"/>
      <c r="CD536" s="340"/>
      <c r="CE536" s="340"/>
      <c r="CF536" s="340"/>
      <c r="CG536" s="340"/>
      <c r="CH536" s="340"/>
    </row>
    <row r="537" spans="1:86" s="193" customFormat="1" ht="35.65" customHeight="1" thickBot="1" x14ac:dyDescent="0.3">
      <c r="A537" s="2526"/>
      <c r="B537" s="1351"/>
      <c r="C537" s="1699"/>
      <c r="D537" s="1543"/>
      <c r="E537" s="1557"/>
      <c r="F537" s="1543"/>
      <c r="G537" s="1557"/>
      <c r="H537" s="1275"/>
      <c r="I537" s="1275"/>
      <c r="J537" s="1962"/>
      <c r="K537" s="1043">
        <v>10060</v>
      </c>
      <c r="L537" s="932" t="s">
        <v>3</v>
      </c>
      <c r="M537" s="2277"/>
      <c r="N537" s="456"/>
      <c r="O537" s="457"/>
      <c r="P537" s="482"/>
      <c r="Q537" s="413"/>
      <c r="R537" s="932"/>
      <c r="S537" s="592"/>
      <c r="T537" s="2527"/>
      <c r="U537" s="1297"/>
      <c r="V537" s="1297"/>
      <c r="W537" s="1297"/>
      <c r="X537" s="1297"/>
      <c r="Y537" s="1297"/>
      <c r="Z537" s="1297"/>
      <c r="AA537" s="1297"/>
      <c r="AB537" s="1297"/>
      <c r="AC537" s="1297"/>
      <c r="AD537" s="1297"/>
      <c r="AE537" s="1297"/>
      <c r="AF537" s="1297"/>
      <c r="AG537" s="1297"/>
      <c r="AH537" s="1297"/>
      <c r="AI537" s="1297"/>
      <c r="AJ537" s="1297"/>
      <c r="AK537" s="1297"/>
      <c r="AL537" s="1297"/>
      <c r="AM537" s="1297"/>
      <c r="AN537" s="1297"/>
      <c r="AO537" s="1297"/>
      <c r="AP537" s="1747"/>
      <c r="AQ537" s="1747"/>
      <c r="AR537" s="1213"/>
      <c r="AS537" s="340"/>
      <c r="AT537" s="340"/>
      <c r="AU537" s="340"/>
      <c r="AV537" s="340"/>
      <c r="AW537" s="340"/>
      <c r="AX537" s="340"/>
      <c r="AY537" s="340"/>
      <c r="AZ537" s="340"/>
      <c r="BA537" s="340"/>
      <c r="BB537" s="340"/>
      <c r="BC537" s="340"/>
      <c r="BD537" s="340"/>
      <c r="BE537" s="340"/>
      <c r="BF537" s="340"/>
      <c r="BG537" s="340"/>
      <c r="BH537" s="340"/>
      <c r="BI537" s="340"/>
      <c r="BJ537" s="340"/>
      <c r="BK537" s="340"/>
      <c r="BL537" s="340"/>
      <c r="BM537" s="340"/>
      <c r="BN537" s="340"/>
      <c r="BO537" s="340"/>
      <c r="BP537" s="340"/>
      <c r="BQ537" s="340"/>
      <c r="BR537" s="340"/>
      <c r="BS537" s="340"/>
      <c r="BT537" s="340"/>
      <c r="BU537" s="340"/>
      <c r="BV537" s="340"/>
      <c r="BW537" s="340"/>
      <c r="BX537" s="340"/>
      <c r="BY537" s="340"/>
      <c r="BZ537" s="340"/>
      <c r="CA537" s="340"/>
      <c r="CB537" s="340"/>
      <c r="CC537" s="340"/>
      <c r="CD537" s="340"/>
      <c r="CE537" s="340"/>
      <c r="CF537" s="340"/>
      <c r="CG537" s="340"/>
      <c r="CH537" s="340"/>
    </row>
    <row r="538" spans="1:86" s="301" customFormat="1" ht="30.95" customHeight="1" x14ac:dyDescent="0.25">
      <c r="A538" s="1879">
        <v>12</v>
      </c>
      <c r="B538" s="1289">
        <v>2241238</v>
      </c>
      <c r="C538" s="1345" t="s">
        <v>1054</v>
      </c>
      <c r="D538" s="1238">
        <v>1.3560000000000001</v>
      </c>
      <c r="E538" s="1360">
        <v>14048.16</v>
      </c>
      <c r="F538" s="1238">
        <v>1.3560000000000001</v>
      </c>
      <c r="G538" s="1360">
        <v>14048.16</v>
      </c>
      <c r="H538" s="1289"/>
      <c r="I538" s="1289"/>
      <c r="J538" s="1289"/>
      <c r="K538" s="1289"/>
      <c r="L538" s="1289"/>
      <c r="M538" s="2275"/>
      <c r="N538" s="1227" t="s">
        <v>441</v>
      </c>
      <c r="O538" s="1227" t="s">
        <v>1201</v>
      </c>
      <c r="P538" s="1238" t="s">
        <v>43</v>
      </c>
      <c r="Q538" s="349">
        <v>0.20499999999999999</v>
      </c>
      <c r="R538" s="966" t="s">
        <v>2</v>
      </c>
      <c r="S538" s="2214">
        <f>2795.22095-S540</f>
        <v>2792.6241799999998</v>
      </c>
      <c r="T538" s="300"/>
      <c r="U538" s="302"/>
      <c r="V538" s="34"/>
      <c r="W538" s="162"/>
      <c r="X538" s="967"/>
      <c r="Y538" s="339"/>
      <c r="Z538" s="1350"/>
      <c r="AA538" s="1350"/>
      <c r="AB538" s="1350"/>
      <c r="AC538" s="1350"/>
      <c r="AD538" s="1350"/>
      <c r="AE538" s="1350"/>
      <c r="AF538" s="1350"/>
      <c r="AG538" s="1350"/>
      <c r="AH538" s="1350"/>
      <c r="AI538" s="1350"/>
      <c r="AJ538" s="1350"/>
      <c r="AK538" s="1350"/>
      <c r="AL538" s="1350"/>
      <c r="AM538" s="1350"/>
      <c r="AN538" s="1350"/>
      <c r="AO538" s="1350"/>
      <c r="AP538" s="1350"/>
      <c r="AQ538" s="1350"/>
      <c r="AR538" s="1285" t="s">
        <v>1200</v>
      </c>
      <c r="AS538" s="312"/>
      <c r="AT538" s="312"/>
      <c r="AU538" s="312"/>
      <c r="AV538" s="312"/>
      <c r="AW538" s="312"/>
      <c r="AX538" s="312"/>
      <c r="AY538" s="312"/>
      <c r="AZ538" s="312"/>
      <c r="BA538" s="312"/>
      <c r="BB538" s="312"/>
      <c r="BC538" s="312"/>
      <c r="BD538" s="312"/>
      <c r="BE538" s="312"/>
      <c r="BF538" s="312"/>
      <c r="BG538" s="312"/>
      <c r="BH538" s="312"/>
      <c r="BI538" s="312"/>
      <c r="BJ538" s="312"/>
      <c r="BK538" s="312"/>
      <c r="BL538" s="312"/>
      <c r="BM538" s="312"/>
      <c r="BN538" s="312"/>
      <c r="BO538" s="312"/>
      <c r="BP538" s="312"/>
      <c r="BQ538" s="312"/>
      <c r="BR538" s="312"/>
      <c r="BS538" s="312"/>
      <c r="BT538" s="312"/>
      <c r="BU538" s="312"/>
      <c r="BV538" s="312"/>
      <c r="BW538" s="312"/>
      <c r="BX538" s="312"/>
      <c r="BY538" s="312"/>
      <c r="BZ538" s="312"/>
      <c r="CA538" s="312"/>
      <c r="CB538" s="312"/>
      <c r="CC538" s="312"/>
      <c r="CD538" s="312"/>
      <c r="CE538" s="312"/>
      <c r="CF538" s="312"/>
      <c r="CG538" s="312"/>
      <c r="CH538" s="312"/>
    </row>
    <row r="539" spans="1:86" s="301" customFormat="1" ht="33.4" customHeight="1" x14ac:dyDescent="0.25">
      <c r="A539" s="1891"/>
      <c r="B539" s="1290"/>
      <c r="C539" s="1245"/>
      <c r="D539" s="1233"/>
      <c r="E539" s="1361"/>
      <c r="F539" s="1233"/>
      <c r="G539" s="1361"/>
      <c r="H539" s="1290"/>
      <c r="I539" s="1290"/>
      <c r="J539" s="1290"/>
      <c r="K539" s="1290"/>
      <c r="L539" s="1290"/>
      <c r="M539" s="2276"/>
      <c r="N539" s="1215"/>
      <c r="O539" s="1215"/>
      <c r="P539" s="1233"/>
      <c r="Q539" s="1183">
        <v>2124</v>
      </c>
      <c r="R539" s="967" t="s">
        <v>3</v>
      </c>
      <c r="S539" s="2216"/>
      <c r="T539" s="300"/>
      <c r="U539" s="302"/>
      <c r="V539" s="34"/>
      <c r="W539" s="212"/>
      <c r="X539" s="967"/>
      <c r="Y539" s="339"/>
      <c r="Z539" s="1297"/>
      <c r="AA539" s="1297"/>
      <c r="AB539" s="1297"/>
      <c r="AC539" s="1297"/>
      <c r="AD539" s="1297"/>
      <c r="AE539" s="1297"/>
      <c r="AF539" s="1297"/>
      <c r="AG539" s="1297"/>
      <c r="AH539" s="1297"/>
      <c r="AI539" s="1297"/>
      <c r="AJ539" s="1297"/>
      <c r="AK539" s="1297"/>
      <c r="AL539" s="1297"/>
      <c r="AM539" s="1297"/>
      <c r="AN539" s="1297"/>
      <c r="AO539" s="1297"/>
      <c r="AP539" s="1297"/>
      <c r="AQ539" s="1297"/>
      <c r="AR539" s="1213"/>
      <c r="AS539" s="312"/>
      <c r="AT539" s="312"/>
      <c r="AU539" s="312"/>
      <c r="AV539" s="312"/>
      <c r="AW539" s="312"/>
      <c r="AX539" s="312"/>
      <c r="AY539" s="312"/>
      <c r="AZ539" s="312"/>
      <c r="BA539" s="312"/>
      <c r="BB539" s="312"/>
      <c r="BC539" s="312"/>
      <c r="BD539" s="312"/>
      <c r="BE539" s="312"/>
      <c r="BF539" s="312"/>
      <c r="BG539" s="312"/>
      <c r="BH539" s="312"/>
      <c r="BI539" s="312"/>
      <c r="BJ539" s="312"/>
      <c r="BK539" s="312"/>
      <c r="BL539" s="312"/>
      <c r="BM539" s="312"/>
      <c r="BN539" s="312"/>
      <c r="BO539" s="312"/>
      <c r="BP539" s="312"/>
      <c r="BQ539" s="312"/>
      <c r="BR539" s="312"/>
      <c r="BS539" s="312"/>
      <c r="BT539" s="312"/>
      <c r="BU539" s="312"/>
      <c r="BV539" s="312"/>
      <c r="BW539" s="312"/>
      <c r="BX539" s="312"/>
      <c r="BY539" s="312"/>
      <c r="BZ539" s="312"/>
      <c r="CA539" s="312"/>
      <c r="CB539" s="312"/>
      <c r="CC539" s="312"/>
      <c r="CD539" s="312"/>
      <c r="CE539" s="312"/>
      <c r="CF539" s="312"/>
      <c r="CG539" s="312"/>
      <c r="CH539" s="312"/>
    </row>
    <row r="540" spans="1:86" s="301" customFormat="1" ht="30.2" customHeight="1" thickBot="1" x14ac:dyDescent="0.3">
      <c r="A540" s="1892"/>
      <c r="B540" s="1600"/>
      <c r="C540" s="1274"/>
      <c r="D540" s="1239"/>
      <c r="E540" s="2528"/>
      <c r="F540" s="1239"/>
      <c r="G540" s="2528"/>
      <c r="H540" s="932"/>
      <c r="I540" s="932"/>
      <c r="J540" s="932"/>
      <c r="K540" s="932"/>
      <c r="L540" s="932"/>
      <c r="M540" s="1145"/>
      <c r="N540" s="1332"/>
      <c r="O540" s="1332"/>
      <c r="P540" s="514" t="s">
        <v>6</v>
      </c>
      <c r="Q540" s="566">
        <v>0.115</v>
      </c>
      <c r="R540" s="567" t="s">
        <v>2</v>
      </c>
      <c r="S540" s="568">
        <v>2.5967699999999998</v>
      </c>
      <c r="T540" s="300"/>
      <c r="U540" s="302"/>
      <c r="V540" s="34"/>
      <c r="W540" s="212"/>
      <c r="X540" s="967"/>
      <c r="Y540" s="339"/>
      <c r="Z540" s="933"/>
      <c r="AA540" s="933"/>
      <c r="AB540" s="933"/>
      <c r="AC540" s="933"/>
      <c r="AD540" s="933"/>
      <c r="AE540" s="933"/>
      <c r="AF540" s="933"/>
      <c r="AG540" s="933"/>
      <c r="AH540" s="933"/>
      <c r="AI540" s="933"/>
      <c r="AJ540" s="933"/>
      <c r="AK540" s="933"/>
      <c r="AL540" s="933"/>
      <c r="AM540" s="933"/>
      <c r="AN540" s="933"/>
      <c r="AO540" s="933"/>
      <c r="AP540" s="933"/>
      <c r="AQ540" s="933"/>
      <c r="AR540" s="880"/>
      <c r="AS540" s="312"/>
      <c r="AT540" s="312"/>
      <c r="AU540" s="312"/>
      <c r="AV540" s="312"/>
      <c r="AW540" s="312"/>
      <c r="AX540" s="312"/>
      <c r="AY540" s="312"/>
      <c r="AZ540" s="312"/>
      <c r="BA540" s="312"/>
      <c r="BB540" s="312"/>
      <c r="BC540" s="312"/>
      <c r="BD540" s="312"/>
      <c r="BE540" s="312"/>
      <c r="BF540" s="312"/>
      <c r="BG540" s="312"/>
      <c r="BH540" s="312"/>
      <c r="BI540" s="312"/>
      <c r="BJ540" s="312"/>
      <c r="BK540" s="312"/>
      <c r="BL540" s="312"/>
      <c r="BM540" s="312"/>
      <c r="BN540" s="312"/>
      <c r="BO540" s="312"/>
      <c r="BP540" s="312"/>
      <c r="BQ540" s="312"/>
      <c r="BR540" s="312"/>
      <c r="BS540" s="312"/>
      <c r="BT540" s="312"/>
      <c r="BU540" s="312"/>
      <c r="BV540" s="312"/>
      <c r="BW540" s="312"/>
      <c r="BX540" s="312"/>
      <c r="BY540" s="312"/>
      <c r="BZ540" s="312"/>
      <c r="CA540" s="312"/>
      <c r="CB540" s="312"/>
      <c r="CC540" s="312"/>
      <c r="CD540" s="312"/>
      <c r="CE540" s="312"/>
      <c r="CF540" s="312"/>
      <c r="CG540" s="312"/>
      <c r="CH540" s="312"/>
    </row>
    <row r="541" spans="1:86" s="301" customFormat="1" ht="34.15" customHeight="1" x14ac:dyDescent="0.25">
      <c r="A541" s="1885">
        <v>13</v>
      </c>
      <c r="B541" s="1883" t="s">
        <v>392</v>
      </c>
      <c r="C541" s="1880" t="s">
        <v>445</v>
      </c>
      <c r="D541" s="2249">
        <v>1.0860000000000001</v>
      </c>
      <c r="E541" s="2251">
        <v>29388.6</v>
      </c>
      <c r="F541" s="2249">
        <v>1.0860000000000001</v>
      </c>
      <c r="G541" s="1888">
        <v>29388.6</v>
      </c>
      <c r="H541" s="2266"/>
      <c r="I541" s="1289"/>
      <c r="J541" s="305"/>
      <c r="K541" s="305"/>
      <c r="L541" s="305"/>
      <c r="M541" s="569"/>
      <c r="N541" s="1227" t="s">
        <v>441</v>
      </c>
      <c r="O541" s="1227" t="s">
        <v>1203</v>
      </c>
      <c r="P541" s="1238" t="s">
        <v>43</v>
      </c>
      <c r="Q541" s="349">
        <v>1.0820000000000001</v>
      </c>
      <c r="R541" s="966" t="s">
        <v>2</v>
      </c>
      <c r="S541" s="2214">
        <f>18151.692-S543-S544</f>
        <v>17384.269569999997</v>
      </c>
      <c r="T541" s="565"/>
      <c r="U541" s="288"/>
      <c r="V541" s="288"/>
      <c r="W541" s="288"/>
      <c r="X541" s="288"/>
      <c r="Y541" s="288"/>
      <c r="Z541" s="1350"/>
      <c r="AA541" s="1350"/>
      <c r="AB541" s="1350"/>
      <c r="AC541" s="1350"/>
      <c r="AD541" s="1350"/>
      <c r="AE541" s="1350"/>
      <c r="AF541" s="1350"/>
      <c r="AG541" s="1350"/>
      <c r="AH541" s="1350"/>
      <c r="AI541" s="1350"/>
      <c r="AJ541" s="1350"/>
      <c r="AK541" s="1350"/>
      <c r="AL541" s="1350"/>
      <c r="AM541" s="1350"/>
      <c r="AN541" s="1350"/>
      <c r="AO541" s="1350"/>
      <c r="AP541" s="1350"/>
      <c r="AQ541" s="1350"/>
      <c r="AR541" s="1285" t="s">
        <v>1202</v>
      </c>
      <c r="AS541" s="312"/>
      <c r="AT541" s="312"/>
      <c r="AU541" s="312"/>
      <c r="AV541" s="312"/>
      <c r="AW541" s="312"/>
      <c r="AX541" s="312"/>
      <c r="AY541" s="312"/>
      <c r="AZ541" s="312"/>
      <c r="BA541" s="312"/>
      <c r="BB541" s="312"/>
      <c r="BC541" s="312"/>
      <c r="BD541" s="312"/>
      <c r="BE541" s="312"/>
      <c r="BF541" s="312"/>
      <c r="BG541" s="312"/>
      <c r="BH541" s="312"/>
      <c r="BI541" s="312"/>
      <c r="BJ541" s="312"/>
      <c r="BK541" s="312"/>
      <c r="BL541" s="312"/>
      <c r="BM541" s="312"/>
      <c r="BN541" s="312"/>
      <c r="BO541" s="312"/>
      <c r="BP541" s="312"/>
      <c r="BQ541" s="312"/>
      <c r="BR541" s="312"/>
      <c r="BS541" s="312"/>
      <c r="BT541" s="312"/>
      <c r="BU541" s="312"/>
      <c r="BV541" s="312"/>
      <c r="BW541" s="312"/>
      <c r="BX541" s="312"/>
      <c r="BY541" s="312"/>
      <c r="BZ541" s="312"/>
      <c r="CA541" s="312"/>
      <c r="CB541" s="312"/>
      <c r="CC541" s="312"/>
      <c r="CD541" s="312"/>
      <c r="CE541" s="312"/>
      <c r="CF541" s="312"/>
      <c r="CG541" s="312"/>
      <c r="CH541" s="312"/>
    </row>
    <row r="542" spans="1:86" s="301" customFormat="1" ht="34.15" customHeight="1" x14ac:dyDescent="0.25">
      <c r="A542" s="1886"/>
      <c r="B542" s="1436"/>
      <c r="C542" s="1881"/>
      <c r="D542" s="2078"/>
      <c r="E542" s="2252"/>
      <c r="F542" s="2078"/>
      <c r="G542" s="1889"/>
      <c r="H542" s="2267"/>
      <c r="I542" s="1290"/>
      <c r="J542" s="288"/>
      <c r="K542" s="288"/>
      <c r="L542" s="288"/>
      <c r="M542" s="288"/>
      <c r="N542" s="1215"/>
      <c r="O542" s="1215"/>
      <c r="P542" s="1233"/>
      <c r="Q542" s="1183">
        <v>14801</v>
      </c>
      <c r="R542" s="967" t="s">
        <v>3</v>
      </c>
      <c r="S542" s="2216"/>
      <c r="T542" s="565"/>
      <c r="U542" s="288"/>
      <c r="V542" s="288"/>
      <c r="W542" s="288"/>
      <c r="X542" s="288"/>
      <c r="Y542" s="288"/>
      <c r="Z542" s="1297"/>
      <c r="AA542" s="1297"/>
      <c r="AB542" s="1297"/>
      <c r="AC542" s="1297"/>
      <c r="AD542" s="1297"/>
      <c r="AE542" s="1297"/>
      <c r="AF542" s="1297"/>
      <c r="AG542" s="1297"/>
      <c r="AH542" s="1297"/>
      <c r="AI542" s="1297"/>
      <c r="AJ542" s="1297"/>
      <c r="AK542" s="1297"/>
      <c r="AL542" s="1297"/>
      <c r="AM542" s="1297"/>
      <c r="AN542" s="1297"/>
      <c r="AO542" s="1297"/>
      <c r="AP542" s="1297"/>
      <c r="AQ542" s="1297"/>
      <c r="AR542" s="1213"/>
      <c r="AS542" s="312"/>
      <c r="AT542" s="312"/>
      <c r="AU542" s="312"/>
      <c r="AV542" s="312"/>
      <c r="AW542" s="312"/>
      <c r="AX542" s="312"/>
      <c r="AY542" s="312"/>
      <c r="AZ542" s="312"/>
      <c r="BA542" s="312"/>
      <c r="BB542" s="312"/>
      <c r="BC542" s="312"/>
      <c r="BD542" s="312"/>
      <c r="BE542" s="312"/>
      <c r="BF542" s="312"/>
      <c r="BG542" s="312"/>
      <c r="BH542" s="312"/>
      <c r="BI542" s="312"/>
      <c r="BJ542" s="312"/>
      <c r="BK542" s="312"/>
      <c r="BL542" s="312"/>
      <c r="BM542" s="312"/>
      <c r="BN542" s="312"/>
      <c r="BO542" s="312"/>
      <c r="BP542" s="312"/>
      <c r="BQ542" s="312"/>
      <c r="BR542" s="312"/>
      <c r="BS542" s="312"/>
      <c r="BT542" s="312"/>
      <c r="BU542" s="312"/>
      <c r="BV542" s="312"/>
      <c r="BW542" s="312"/>
      <c r="BX542" s="312"/>
      <c r="BY542" s="312"/>
      <c r="BZ542" s="312"/>
      <c r="CA542" s="312"/>
      <c r="CB542" s="312"/>
      <c r="CC542" s="312"/>
      <c r="CD542" s="312"/>
      <c r="CE542" s="312"/>
      <c r="CF542" s="312"/>
      <c r="CG542" s="312"/>
      <c r="CH542" s="312"/>
    </row>
    <row r="543" spans="1:86" s="301" customFormat="1" ht="25.7" customHeight="1" x14ac:dyDescent="0.25">
      <c r="A543" s="1886"/>
      <c r="B543" s="1436"/>
      <c r="C543" s="1881"/>
      <c r="D543" s="2078"/>
      <c r="E543" s="2252"/>
      <c r="F543" s="2078"/>
      <c r="G543" s="1889"/>
      <c r="H543" s="2267"/>
      <c r="I543" s="1290"/>
      <c r="J543" s="967"/>
      <c r="K543" s="967"/>
      <c r="L543" s="967"/>
      <c r="M543" s="967"/>
      <c r="N543" s="1215"/>
      <c r="O543" s="1215"/>
      <c r="P543" s="516" t="s">
        <v>6</v>
      </c>
      <c r="Q543" s="520">
        <v>0.43</v>
      </c>
      <c r="R543" s="237" t="s">
        <v>2</v>
      </c>
      <c r="S543" s="521">
        <v>12.274150000000001</v>
      </c>
      <c r="T543" s="565"/>
      <c r="U543" s="288"/>
      <c r="V543" s="288"/>
      <c r="W543" s="288"/>
      <c r="X543" s="288"/>
      <c r="Y543" s="288"/>
      <c r="Z543" s="933"/>
      <c r="AA543" s="933"/>
      <c r="AB543" s="933"/>
      <c r="AC543" s="933"/>
      <c r="AD543" s="933"/>
      <c r="AE543" s="933"/>
      <c r="AF543" s="933"/>
      <c r="AG543" s="933"/>
      <c r="AH543" s="933"/>
      <c r="AI543" s="933"/>
      <c r="AJ543" s="933"/>
      <c r="AK543" s="933"/>
      <c r="AL543" s="933"/>
      <c r="AM543" s="933"/>
      <c r="AN543" s="933"/>
      <c r="AO543" s="933"/>
      <c r="AP543" s="933"/>
      <c r="AQ543" s="933"/>
      <c r="AR543" s="880"/>
      <c r="AS543" s="312"/>
      <c r="AT543" s="312"/>
      <c r="AU543" s="312"/>
      <c r="AV543" s="312"/>
      <c r="AW543" s="312"/>
      <c r="AX543" s="312"/>
      <c r="AY543" s="312"/>
      <c r="AZ543" s="312"/>
      <c r="BA543" s="312"/>
      <c r="BB543" s="312"/>
      <c r="BC543" s="312"/>
      <c r="BD543" s="312"/>
      <c r="BE543" s="312"/>
      <c r="BF543" s="312"/>
      <c r="BG543" s="312"/>
      <c r="BH543" s="312"/>
      <c r="BI543" s="312"/>
      <c r="BJ543" s="312"/>
      <c r="BK543" s="312"/>
      <c r="BL543" s="312"/>
      <c r="BM543" s="312"/>
      <c r="BN543" s="312"/>
      <c r="BO543" s="312"/>
      <c r="BP543" s="312"/>
      <c r="BQ543" s="312"/>
      <c r="BR543" s="312"/>
      <c r="BS543" s="312"/>
      <c r="BT543" s="312"/>
      <c r="BU543" s="312"/>
      <c r="BV543" s="312"/>
      <c r="BW543" s="312"/>
      <c r="BX543" s="312"/>
      <c r="BY543" s="312"/>
      <c r="BZ543" s="312"/>
      <c r="CA543" s="312"/>
      <c r="CB543" s="312"/>
      <c r="CC543" s="312"/>
      <c r="CD543" s="312"/>
      <c r="CE543" s="312"/>
      <c r="CF543" s="312"/>
      <c r="CG543" s="312"/>
      <c r="CH543" s="312"/>
    </row>
    <row r="544" spans="1:86" s="301" customFormat="1" ht="103.5" customHeight="1" thickBot="1" x14ac:dyDescent="0.3">
      <c r="A544" s="1886"/>
      <c r="B544" s="1436"/>
      <c r="C544" s="1881"/>
      <c r="D544" s="2078"/>
      <c r="E544" s="2252"/>
      <c r="F544" s="2078"/>
      <c r="G544" s="1889"/>
      <c r="H544" s="2268"/>
      <c r="I544" s="1350"/>
      <c r="J544" s="932"/>
      <c r="K544" s="932"/>
      <c r="L544" s="932"/>
      <c r="M544" s="932"/>
      <c r="N544" s="1332"/>
      <c r="O544" s="1332"/>
      <c r="P544" s="1148" t="s">
        <v>1398</v>
      </c>
      <c r="Q544" s="891">
        <v>44.55</v>
      </c>
      <c r="R544" s="891" t="s">
        <v>4</v>
      </c>
      <c r="S544" s="1087">
        <v>755.14828</v>
      </c>
      <c r="T544" s="565"/>
      <c r="U544" s="288"/>
      <c r="V544" s="288"/>
      <c r="W544" s="288"/>
      <c r="X544" s="288"/>
      <c r="Y544" s="288"/>
      <c r="Z544" s="967"/>
      <c r="AA544" s="967"/>
      <c r="AB544" s="967"/>
      <c r="AC544" s="967"/>
      <c r="AD544" s="967"/>
      <c r="AE544" s="967"/>
      <c r="AF544" s="967"/>
      <c r="AG544" s="967"/>
      <c r="AH544" s="967"/>
      <c r="AI544" s="967"/>
      <c r="AJ544" s="967"/>
      <c r="AK544" s="967"/>
      <c r="AL544" s="967"/>
      <c r="AM544" s="967"/>
      <c r="AN544" s="967"/>
      <c r="AO544" s="967"/>
      <c r="AP544" s="967"/>
      <c r="AQ544" s="967"/>
      <c r="AR544" s="878"/>
      <c r="AS544" s="312"/>
      <c r="AT544" s="312"/>
      <c r="AU544" s="312"/>
      <c r="AV544" s="312"/>
      <c r="AW544" s="312"/>
      <c r="AX544" s="312"/>
      <c r="AY544" s="312"/>
      <c r="AZ544" s="312"/>
      <c r="BA544" s="312"/>
      <c r="BB544" s="312"/>
      <c r="BC544" s="312"/>
      <c r="BD544" s="312"/>
      <c r="BE544" s="312"/>
      <c r="BF544" s="312"/>
      <c r="BG544" s="312"/>
      <c r="BH544" s="312"/>
      <c r="BI544" s="312"/>
      <c r="BJ544" s="312"/>
      <c r="BK544" s="312"/>
      <c r="BL544" s="312"/>
      <c r="BM544" s="312"/>
      <c r="BN544" s="312"/>
      <c r="BO544" s="312"/>
      <c r="BP544" s="312"/>
      <c r="BQ544" s="312"/>
      <c r="BR544" s="312"/>
      <c r="BS544" s="312"/>
      <c r="BT544" s="312"/>
      <c r="BU544" s="312"/>
      <c r="BV544" s="312"/>
      <c r="BW544" s="312"/>
      <c r="BX544" s="312"/>
      <c r="BY544" s="312"/>
      <c r="BZ544" s="312"/>
      <c r="CA544" s="312"/>
      <c r="CB544" s="312"/>
      <c r="CC544" s="312"/>
      <c r="CD544" s="312"/>
      <c r="CE544" s="312"/>
      <c r="CF544" s="312"/>
      <c r="CG544" s="312"/>
      <c r="CH544" s="312"/>
    </row>
    <row r="545" spans="1:86" s="301" customFormat="1" ht="22.5" customHeight="1" x14ac:dyDescent="0.25">
      <c r="A545" s="1886"/>
      <c r="B545" s="1436"/>
      <c r="C545" s="1881"/>
      <c r="D545" s="2078"/>
      <c r="E545" s="2252"/>
      <c r="F545" s="2078"/>
      <c r="G545" s="1889"/>
      <c r="H545" s="2278"/>
      <c r="I545" s="1605"/>
      <c r="J545" s="966"/>
      <c r="K545" s="966"/>
      <c r="L545" s="966"/>
      <c r="M545" s="966"/>
      <c r="N545" s="1278" t="s">
        <v>1100</v>
      </c>
      <c r="O545" s="1278" t="s">
        <v>1100</v>
      </c>
      <c r="P545" s="1238" t="s">
        <v>43</v>
      </c>
      <c r="Q545" s="349">
        <f>0.0424-0.0424</f>
        <v>0</v>
      </c>
      <c r="R545" s="966" t="s">
        <v>2</v>
      </c>
      <c r="S545" s="2214">
        <v>896.65824999999995</v>
      </c>
      <c r="T545" s="565"/>
      <c r="U545" s="288"/>
      <c r="V545" s="288"/>
      <c r="W545" s="288"/>
      <c r="X545" s="288"/>
      <c r="Y545" s="288"/>
      <c r="Z545" s="967"/>
      <c r="AA545" s="967"/>
      <c r="AB545" s="967"/>
      <c r="AC545" s="967"/>
      <c r="AD545" s="967"/>
      <c r="AE545" s="967"/>
      <c r="AF545" s="967"/>
      <c r="AG545" s="967"/>
      <c r="AH545" s="967"/>
      <c r="AI545" s="967"/>
      <c r="AJ545" s="967"/>
      <c r="AK545" s="967"/>
      <c r="AL545" s="967"/>
      <c r="AM545" s="967"/>
      <c r="AN545" s="967"/>
      <c r="AO545" s="967"/>
      <c r="AP545" s="967"/>
      <c r="AQ545" s="967"/>
      <c r="AR545" s="878"/>
      <c r="AS545" s="312"/>
      <c r="AT545" s="312"/>
      <c r="AU545" s="312"/>
      <c r="AV545" s="312"/>
      <c r="AW545" s="312"/>
      <c r="AX545" s="312"/>
      <c r="AY545" s="312"/>
      <c r="AZ545" s="312"/>
      <c r="BA545" s="312"/>
      <c r="BB545" s="312"/>
      <c r="BC545" s="312"/>
      <c r="BD545" s="312"/>
      <c r="BE545" s="312"/>
      <c r="BF545" s="312"/>
      <c r="BG545" s="312"/>
      <c r="BH545" s="312"/>
      <c r="BI545" s="312"/>
      <c r="BJ545" s="312"/>
      <c r="BK545" s="312"/>
      <c r="BL545" s="312"/>
      <c r="BM545" s="312"/>
      <c r="BN545" s="312"/>
      <c r="BO545" s="312"/>
      <c r="BP545" s="312"/>
      <c r="BQ545" s="312"/>
      <c r="BR545" s="312"/>
      <c r="BS545" s="312"/>
      <c r="BT545" s="312"/>
      <c r="BU545" s="312"/>
      <c r="BV545" s="312"/>
      <c r="BW545" s="312"/>
      <c r="BX545" s="312"/>
      <c r="BY545" s="312"/>
      <c r="BZ545" s="312"/>
      <c r="CA545" s="312"/>
      <c r="CB545" s="312"/>
      <c r="CC545" s="312"/>
      <c r="CD545" s="312"/>
      <c r="CE545" s="312"/>
      <c r="CF545" s="312"/>
      <c r="CG545" s="312"/>
      <c r="CH545" s="312"/>
    </row>
    <row r="546" spans="1:86" s="301" customFormat="1" ht="21.2" customHeight="1" thickBot="1" x14ac:dyDescent="0.3">
      <c r="A546" s="1886"/>
      <c r="B546" s="1436"/>
      <c r="C546" s="1881"/>
      <c r="D546" s="2078"/>
      <c r="E546" s="2252"/>
      <c r="F546" s="2078"/>
      <c r="G546" s="1889"/>
      <c r="H546" s="2279"/>
      <c r="I546" s="1852"/>
      <c r="J546" s="1107"/>
      <c r="K546" s="1107"/>
      <c r="L546" s="1107"/>
      <c r="M546" s="1107"/>
      <c r="N546" s="1357"/>
      <c r="O546" s="1357"/>
      <c r="P546" s="1239"/>
      <c r="Q546" s="578">
        <v>524</v>
      </c>
      <c r="R546" s="1107" t="s">
        <v>3</v>
      </c>
      <c r="S546" s="2215"/>
      <c r="T546" s="565"/>
      <c r="U546" s="288"/>
      <c r="V546" s="288"/>
      <c r="W546" s="288"/>
      <c r="X546" s="288"/>
      <c r="Y546" s="288"/>
      <c r="Z546" s="967"/>
      <c r="AA546" s="967"/>
      <c r="AB546" s="967"/>
      <c r="AC546" s="967"/>
      <c r="AD546" s="967"/>
      <c r="AE546" s="967"/>
      <c r="AF546" s="967"/>
      <c r="AG546" s="967"/>
      <c r="AH546" s="967"/>
      <c r="AI546" s="967"/>
      <c r="AJ546" s="967"/>
      <c r="AK546" s="967"/>
      <c r="AL546" s="967"/>
      <c r="AM546" s="967"/>
      <c r="AN546" s="967"/>
      <c r="AO546" s="967"/>
      <c r="AP546" s="967"/>
      <c r="AQ546" s="967"/>
      <c r="AR546" s="878"/>
      <c r="AS546" s="312"/>
      <c r="AT546" s="312"/>
      <c r="AU546" s="312"/>
      <c r="AV546" s="312"/>
      <c r="AW546" s="312"/>
      <c r="AX546" s="312"/>
      <c r="AY546" s="312"/>
      <c r="AZ546" s="312"/>
      <c r="BA546" s="312"/>
      <c r="BB546" s="312"/>
      <c r="BC546" s="312"/>
      <c r="BD546" s="312"/>
      <c r="BE546" s="312"/>
      <c r="BF546" s="312"/>
      <c r="BG546" s="312"/>
      <c r="BH546" s="312"/>
      <c r="BI546" s="312"/>
      <c r="BJ546" s="312"/>
      <c r="BK546" s="312"/>
      <c r="BL546" s="312"/>
      <c r="BM546" s="312"/>
      <c r="BN546" s="312"/>
      <c r="BO546" s="312"/>
      <c r="BP546" s="312"/>
      <c r="BQ546" s="312"/>
      <c r="BR546" s="312"/>
      <c r="BS546" s="312"/>
      <c r="BT546" s="312"/>
      <c r="BU546" s="312"/>
      <c r="BV546" s="312"/>
      <c r="BW546" s="312"/>
      <c r="BX546" s="312"/>
      <c r="BY546" s="312"/>
      <c r="BZ546" s="312"/>
      <c r="CA546" s="312"/>
      <c r="CB546" s="312"/>
      <c r="CC546" s="312"/>
      <c r="CD546" s="312"/>
      <c r="CE546" s="312"/>
      <c r="CF546" s="312"/>
      <c r="CG546" s="312"/>
      <c r="CH546" s="312"/>
    </row>
    <row r="547" spans="1:86" s="301" customFormat="1" ht="87" customHeight="1" thickBot="1" x14ac:dyDescent="0.3">
      <c r="A547" s="1887"/>
      <c r="B547" s="1884"/>
      <c r="C547" s="1882"/>
      <c r="D547" s="2250"/>
      <c r="E547" s="2253"/>
      <c r="F547" s="2250"/>
      <c r="G547" s="1890"/>
      <c r="H547" s="1151"/>
      <c r="I547" s="1050"/>
      <c r="J547" s="1050"/>
      <c r="K547" s="1050"/>
      <c r="L547" s="1050"/>
      <c r="M547" s="1050"/>
      <c r="N547" s="922"/>
      <c r="O547" s="922"/>
      <c r="P547" s="1036"/>
      <c r="Q547" s="763"/>
      <c r="R547" s="1050"/>
      <c r="S547" s="1099"/>
      <c r="T547" s="874" t="s">
        <v>1090</v>
      </c>
      <c r="U547" s="874" t="s">
        <v>1090</v>
      </c>
      <c r="V547" s="34" t="s">
        <v>1046</v>
      </c>
      <c r="W547" s="878">
        <v>1</v>
      </c>
      <c r="X547" s="878" t="s">
        <v>8</v>
      </c>
      <c r="Y547" s="522">
        <v>586.46803</v>
      </c>
      <c r="Z547" s="967"/>
      <c r="AA547" s="967"/>
      <c r="AB547" s="967"/>
      <c r="AC547" s="967"/>
      <c r="AD547" s="967"/>
      <c r="AE547" s="967"/>
      <c r="AF547" s="967"/>
      <c r="AG547" s="967"/>
      <c r="AH547" s="967"/>
      <c r="AI547" s="967"/>
      <c r="AJ547" s="967"/>
      <c r="AK547" s="967"/>
      <c r="AL547" s="967"/>
      <c r="AM547" s="967"/>
      <c r="AN547" s="967"/>
      <c r="AO547" s="967"/>
      <c r="AP547" s="967"/>
      <c r="AQ547" s="967"/>
      <c r="AR547" s="878"/>
      <c r="AS547" s="312"/>
      <c r="AT547" s="312"/>
      <c r="AU547" s="312"/>
      <c r="AV547" s="312"/>
      <c r="AW547" s="312"/>
      <c r="AX547" s="312"/>
      <c r="AY547" s="312"/>
      <c r="AZ547" s="312"/>
      <c r="BA547" s="312"/>
      <c r="BB547" s="312"/>
      <c r="BC547" s="312"/>
      <c r="BD547" s="312"/>
      <c r="BE547" s="312"/>
      <c r="BF547" s="312"/>
      <c r="BG547" s="312"/>
      <c r="BH547" s="312"/>
      <c r="BI547" s="312"/>
      <c r="BJ547" s="312"/>
      <c r="BK547" s="312"/>
      <c r="BL547" s="312"/>
      <c r="BM547" s="312"/>
      <c r="BN547" s="312"/>
      <c r="BO547" s="312"/>
      <c r="BP547" s="312"/>
      <c r="BQ547" s="312"/>
      <c r="BR547" s="312"/>
      <c r="BS547" s="312"/>
      <c r="BT547" s="312"/>
      <c r="BU547" s="312"/>
      <c r="BV547" s="312"/>
      <c r="BW547" s="312"/>
      <c r="BX547" s="312"/>
      <c r="BY547" s="312"/>
      <c r="BZ547" s="312"/>
      <c r="CA547" s="312"/>
      <c r="CB547" s="312"/>
      <c r="CC547" s="312"/>
      <c r="CD547" s="312"/>
      <c r="CE547" s="312"/>
      <c r="CF547" s="312"/>
      <c r="CG547" s="312"/>
      <c r="CH547" s="312"/>
    </row>
    <row r="548" spans="1:86" s="301" customFormat="1" ht="21.75" customHeight="1" x14ac:dyDescent="0.25">
      <c r="A548" s="2342">
        <f>A541+1</f>
        <v>14</v>
      </c>
      <c r="B548" s="2339">
        <v>2243195</v>
      </c>
      <c r="C548" s="2337" t="s">
        <v>456</v>
      </c>
      <c r="D548" s="2255">
        <v>3.09</v>
      </c>
      <c r="E548" s="2251">
        <v>86335</v>
      </c>
      <c r="F548" s="2255">
        <v>3.09</v>
      </c>
      <c r="G548" s="2251">
        <v>86335</v>
      </c>
      <c r="H548" s="1593"/>
      <c r="I548" s="1593"/>
      <c r="J548" s="1593"/>
      <c r="K548" s="1593"/>
      <c r="L548" s="1593"/>
      <c r="M548" s="1593"/>
      <c r="N548" s="1593" t="s">
        <v>1104</v>
      </c>
      <c r="O548" s="1593" t="s">
        <v>1105</v>
      </c>
      <c r="P548" s="1213" t="s">
        <v>43</v>
      </c>
      <c r="Q548" s="1012">
        <v>0.85</v>
      </c>
      <c r="R548" s="1012" t="s">
        <v>2</v>
      </c>
      <c r="S548" s="2202">
        <f>16412.46502-S550-S551</f>
        <v>16044.496730000001</v>
      </c>
      <c r="T548" s="518"/>
      <c r="U548" s="967"/>
      <c r="V548" s="967"/>
      <c r="W548" s="967"/>
      <c r="X548" s="967"/>
      <c r="Y548" s="967"/>
      <c r="Z548" s="967"/>
      <c r="AA548" s="967"/>
      <c r="AB548" s="967"/>
      <c r="AC548" s="967"/>
      <c r="AD548" s="967"/>
      <c r="AE548" s="967"/>
      <c r="AF548" s="967"/>
      <c r="AG548" s="967"/>
      <c r="AH548" s="967"/>
      <c r="AI548" s="967"/>
      <c r="AJ548" s="967"/>
      <c r="AK548" s="967"/>
      <c r="AL548" s="967"/>
      <c r="AM548" s="967"/>
      <c r="AN548" s="967"/>
      <c r="AO548" s="967"/>
      <c r="AP548" s="967"/>
      <c r="AQ548" s="967"/>
      <c r="AR548" s="967"/>
      <c r="AS548" s="312"/>
      <c r="AT548" s="312"/>
      <c r="AU548" s="312"/>
      <c r="AV548" s="312"/>
      <c r="AW548" s="312"/>
      <c r="AX548" s="312"/>
      <c r="AY548" s="312"/>
      <c r="AZ548" s="312"/>
      <c r="BA548" s="312"/>
      <c r="BB548" s="312"/>
      <c r="BC548" s="312"/>
      <c r="BD548" s="312"/>
      <c r="BE548" s="312"/>
      <c r="BF548" s="312"/>
      <c r="BG548" s="312"/>
      <c r="BH548" s="312"/>
      <c r="BI548" s="312"/>
      <c r="BJ548" s="312"/>
      <c r="BK548" s="312"/>
      <c r="BL548" s="312"/>
      <c r="BM548" s="312"/>
      <c r="BN548" s="312"/>
      <c r="BO548" s="312"/>
      <c r="BP548" s="312"/>
      <c r="BQ548" s="312"/>
      <c r="BR548" s="312"/>
      <c r="BS548" s="312"/>
      <c r="BT548" s="312"/>
      <c r="BU548" s="312"/>
      <c r="BV548" s="312"/>
      <c r="BW548" s="312"/>
      <c r="BX548" s="312"/>
      <c r="BY548" s="312"/>
      <c r="BZ548" s="312"/>
      <c r="CA548" s="312"/>
      <c r="CB548" s="312"/>
      <c r="CC548" s="312"/>
      <c r="CD548" s="312"/>
      <c r="CE548" s="312"/>
      <c r="CF548" s="312"/>
      <c r="CG548" s="312"/>
      <c r="CH548" s="312"/>
    </row>
    <row r="549" spans="1:86" s="301" customFormat="1" ht="21.75" customHeight="1" x14ac:dyDescent="0.25">
      <c r="A549" s="2343"/>
      <c r="B549" s="2340"/>
      <c r="C549" s="1877"/>
      <c r="D549" s="2256"/>
      <c r="E549" s="2252"/>
      <c r="F549" s="2256"/>
      <c r="G549" s="2252"/>
      <c r="H549" s="1594"/>
      <c r="I549" s="1594"/>
      <c r="J549" s="1594"/>
      <c r="K549" s="1594"/>
      <c r="L549" s="1594"/>
      <c r="M549" s="1594"/>
      <c r="N549" s="1594"/>
      <c r="O549" s="1594"/>
      <c r="P549" s="1233"/>
      <c r="Q549" s="1113">
        <v>12473</v>
      </c>
      <c r="R549" s="1068" t="s">
        <v>3</v>
      </c>
      <c r="S549" s="2168"/>
      <c r="T549" s="518"/>
      <c r="U549" s="967"/>
      <c r="V549" s="967"/>
      <c r="W549" s="967"/>
      <c r="X549" s="967"/>
      <c r="Y549" s="967"/>
      <c r="Z549" s="967"/>
      <c r="AA549" s="967"/>
      <c r="AB549" s="967"/>
      <c r="AC549" s="967"/>
      <c r="AD549" s="967"/>
      <c r="AE549" s="967"/>
      <c r="AF549" s="967"/>
      <c r="AG549" s="967"/>
      <c r="AH549" s="967"/>
      <c r="AI549" s="967"/>
      <c r="AJ549" s="967"/>
      <c r="AK549" s="967"/>
      <c r="AL549" s="967"/>
      <c r="AM549" s="967"/>
      <c r="AN549" s="967"/>
      <c r="AO549" s="967"/>
      <c r="AP549" s="967"/>
      <c r="AQ549" s="967"/>
      <c r="AR549" s="967"/>
      <c r="AS549" s="312"/>
      <c r="AT549" s="312"/>
      <c r="AU549" s="312"/>
      <c r="AV549" s="312"/>
      <c r="AW549" s="312"/>
      <c r="AX549" s="312"/>
      <c r="AY549" s="312"/>
      <c r="AZ549" s="312"/>
      <c r="BA549" s="312"/>
      <c r="BB549" s="312"/>
      <c r="BC549" s="312"/>
      <c r="BD549" s="312"/>
      <c r="BE549" s="312"/>
      <c r="BF549" s="312"/>
      <c r="BG549" s="312"/>
      <c r="BH549" s="312"/>
      <c r="BI549" s="312"/>
      <c r="BJ549" s="312"/>
      <c r="BK549" s="312"/>
      <c r="BL549" s="312"/>
      <c r="BM549" s="312"/>
      <c r="BN549" s="312"/>
      <c r="BO549" s="312"/>
      <c r="BP549" s="312"/>
      <c r="BQ549" s="312"/>
      <c r="BR549" s="312"/>
      <c r="BS549" s="312"/>
      <c r="BT549" s="312"/>
      <c r="BU549" s="312"/>
      <c r="BV549" s="312"/>
      <c r="BW549" s="312"/>
      <c r="BX549" s="312"/>
      <c r="BY549" s="312"/>
      <c r="BZ549" s="312"/>
      <c r="CA549" s="312"/>
      <c r="CB549" s="312"/>
      <c r="CC549" s="312"/>
      <c r="CD549" s="312"/>
      <c r="CE549" s="312"/>
      <c r="CF549" s="312"/>
      <c r="CG549" s="312"/>
      <c r="CH549" s="312"/>
    </row>
    <row r="550" spans="1:86" s="301" customFormat="1" ht="21.75" customHeight="1" x14ac:dyDescent="0.25">
      <c r="A550" s="2343"/>
      <c r="B550" s="2340"/>
      <c r="C550" s="1877"/>
      <c r="D550" s="2256"/>
      <c r="E550" s="2252"/>
      <c r="F550" s="2256"/>
      <c r="G550" s="2252"/>
      <c r="H550" s="1068"/>
      <c r="I550" s="1068"/>
      <c r="J550" s="1068"/>
      <c r="K550" s="1068"/>
      <c r="L550" s="1068"/>
      <c r="M550" s="1068"/>
      <c r="N550" s="1594"/>
      <c r="O550" s="1594"/>
      <c r="P550" s="516" t="s">
        <v>6</v>
      </c>
      <c r="Q550" s="520">
        <v>0.98499999999999999</v>
      </c>
      <c r="R550" s="237" t="s">
        <v>2</v>
      </c>
      <c r="S550" s="521">
        <v>8.6823499999999996</v>
      </c>
      <c r="T550" s="518"/>
      <c r="U550" s="967"/>
      <c r="V550" s="967"/>
      <c r="W550" s="967"/>
      <c r="X550" s="967"/>
      <c r="Y550" s="967"/>
      <c r="Z550" s="967"/>
      <c r="AA550" s="967"/>
      <c r="AB550" s="967"/>
      <c r="AC550" s="967"/>
      <c r="AD550" s="967"/>
      <c r="AE550" s="967"/>
      <c r="AF550" s="967"/>
      <c r="AG550" s="967"/>
      <c r="AH550" s="967"/>
      <c r="AI550" s="967"/>
      <c r="AJ550" s="967"/>
      <c r="AK550" s="967"/>
      <c r="AL550" s="967"/>
      <c r="AM550" s="967"/>
      <c r="AN550" s="967"/>
      <c r="AO550" s="967"/>
      <c r="AP550" s="967"/>
      <c r="AQ550" s="967"/>
      <c r="AR550" s="967"/>
      <c r="AS550" s="312"/>
      <c r="AT550" s="312"/>
      <c r="AU550" s="312"/>
      <c r="AV550" s="312"/>
      <c r="AW550" s="312"/>
      <c r="AX550" s="312"/>
      <c r="AY550" s="312"/>
      <c r="AZ550" s="312"/>
      <c r="BA550" s="312"/>
      <c r="BB550" s="312"/>
      <c r="BC550" s="312"/>
      <c r="BD550" s="312"/>
      <c r="BE550" s="312"/>
      <c r="BF550" s="312"/>
      <c r="BG550" s="312"/>
      <c r="BH550" s="312"/>
      <c r="BI550" s="312"/>
      <c r="BJ550" s="312"/>
      <c r="BK550" s="312"/>
      <c r="BL550" s="312"/>
      <c r="BM550" s="312"/>
      <c r="BN550" s="312"/>
      <c r="BO550" s="312"/>
      <c r="BP550" s="312"/>
      <c r="BQ550" s="312"/>
      <c r="BR550" s="312"/>
      <c r="BS550" s="312"/>
      <c r="BT550" s="312"/>
      <c r="BU550" s="312"/>
      <c r="BV550" s="312"/>
      <c r="BW550" s="312"/>
      <c r="BX550" s="312"/>
      <c r="BY550" s="312"/>
      <c r="BZ550" s="312"/>
      <c r="CA550" s="312"/>
      <c r="CB550" s="312"/>
      <c r="CC550" s="312"/>
      <c r="CD550" s="312"/>
      <c r="CE550" s="312"/>
      <c r="CF550" s="312"/>
      <c r="CG550" s="312"/>
      <c r="CH550" s="312"/>
    </row>
    <row r="551" spans="1:86" s="301" customFormat="1" ht="104.1" customHeight="1" thickBot="1" x14ac:dyDescent="0.3">
      <c r="A551" s="2343"/>
      <c r="B551" s="2340"/>
      <c r="C551" s="1877"/>
      <c r="D551" s="2256"/>
      <c r="E551" s="2252"/>
      <c r="F551" s="2256"/>
      <c r="G551" s="2252"/>
      <c r="H551" s="1011"/>
      <c r="I551" s="1011"/>
      <c r="J551" s="1011"/>
      <c r="K551" s="1011"/>
      <c r="L551" s="1011"/>
      <c r="M551" s="1011"/>
      <c r="N551" s="1595"/>
      <c r="O551" s="1595"/>
      <c r="P551" s="1148" t="s">
        <v>1398</v>
      </c>
      <c r="Q551" s="891">
        <v>31.5</v>
      </c>
      <c r="R551" s="891" t="s">
        <v>4</v>
      </c>
      <c r="S551" s="1087">
        <v>359.28593999999998</v>
      </c>
      <c r="T551" s="608"/>
      <c r="U551" s="932"/>
      <c r="V551" s="932"/>
      <c r="W551" s="932"/>
      <c r="X551" s="932"/>
      <c r="Y551" s="932"/>
      <c r="Z551" s="967"/>
      <c r="AA551" s="967"/>
      <c r="AB551" s="967"/>
      <c r="AC551" s="967"/>
      <c r="AD551" s="967"/>
      <c r="AE551" s="967"/>
      <c r="AF551" s="967"/>
      <c r="AG551" s="967"/>
      <c r="AH551" s="967"/>
      <c r="AI551" s="967"/>
      <c r="AJ551" s="967"/>
      <c r="AK551" s="967"/>
      <c r="AL551" s="967"/>
      <c r="AM551" s="967"/>
      <c r="AN551" s="967"/>
      <c r="AO551" s="967"/>
      <c r="AP551" s="967"/>
      <c r="AQ551" s="967"/>
      <c r="AR551" s="967"/>
      <c r="AS551" s="312"/>
      <c r="AT551" s="312"/>
      <c r="AU551" s="312"/>
      <c r="AV551" s="312"/>
      <c r="AW551" s="312"/>
      <c r="AX551" s="312"/>
      <c r="AY551" s="312"/>
      <c r="AZ551" s="312"/>
      <c r="BA551" s="312"/>
      <c r="BB551" s="312"/>
      <c r="BC551" s="312"/>
      <c r="BD551" s="312"/>
      <c r="BE551" s="312"/>
      <c r="BF551" s="312"/>
      <c r="BG551" s="312"/>
      <c r="BH551" s="312"/>
      <c r="BI551" s="312"/>
      <c r="BJ551" s="312"/>
      <c r="BK551" s="312"/>
      <c r="BL551" s="312"/>
      <c r="BM551" s="312"/>
      <c r="BN551" s="312"/>
      <c r="BO551" s="312"/>
      <c r="BP551" s="312"/>
      <c r="BQ551" s="312"/>
      <c r="BR551" s="312"/>
      <c r="BS551" s="312"/>
      <c r="BT551" s="312"/>
      <c r="BU551" s="312"/>
      <c r="BV551" s="312"/>
      <c r="BW551" s="312"/>
      <c r="BX551" s="312"/>
      <c r="BY551" s="312"/>
      <c r="BZ551" s="312"/>
      <c r="CA551" s="312"/>
      <c r="CB551" s="312"/>
      <c r="CC551" s="312"/>
      <c r="CD551" s="312"/>
      <c r="CE551" s="312"/>
      <c r="CF551" s="312"/>
      <c r="CG551" s="312"/>
      <c r="CH551" s="312"/>
    </row>
    <row r="552" spans="1:86" s="301" customFormat="1" ht="40.5" customHeight="1" x14ac:dyDescent="0.25">
      <c r="A552" s="2343"/>
      <c r="B552" s="2340"/>
      <c r="C552" s="1877"/>
      <c r="D552" s="2256"/>
      <c r="E552" s="2252"/>
      <c r="F552" s="2256"/>
      <c r="G552" s="2252"/>
      <c r="H552" s="544"/>
      <c r="I552" s="544"/>
      <c r="J552" s="544"/>
      <c r="K552" s="544"/>
      <c r="L552" s="544"/>
      <c r="M552" s="670"/>
      <c r="N552" s="616"/>
      <c r="O552" s="544"/>
      <c r="P552" s="303"/>
      <c r="Q552" s="882"/>
      <c r="R552" s="882"/>
      <c r="S552" s="610"/>
      <c r="T552" s="1303" t="s">
        <v>1410</v>
      </c>
      <c r="U552" s="1777" t="s">
        <v>1105</v>
      </c>
      <c r="V552" s="1238" t="s">
        <v>43</v>
      </c>
      <c r="W552" s="544">
        <v>0.57499999999999996</v>
      </c>
      <c r="X552" s="544" t="s">
        <v>2</v>
      </c>
      <c r="Y552" s="2434">
        <f>9579.7164-Y554</f>
        <v>9143.268399999999</v>
      </c>
      <c r="Z552" s="673"/>
      <c r="AA552" s="934"/>
      <c r="AB552" s="934"/>
      <c r="AC552" s="934"/>
      <c r="AD552" s="934"/>
      <c r="AE552" s="934"/>
      <c r="AF552" s="934"/>
      <c r="AG552" s="934"/>
      <c r="AH552" s="934"/>
      <c r="AI552" s="934"/>
      <c r="AJ552" s="934"/>
      <c r="AK552" s="934"/>
      <c r="AL552" s="934"/>
      <c r="AM552" s="934"/>
      <c r="AN552" s="934"/>
      <c r="AO552" s="934"/>
      <c r="AP552" s="934"/>
      <c r="AQ552" s="934"/>
      <c r="AR552" s="1049"/>
      <c r="AS552" s="312"/>
      <c r="AT552" s="312"/>
      <c r="AU552" s="312"/>
      <c r="AV552" s="312"/>
      <c r="AW552" s="312"/>
      <c r="AX552" s="312"/>
      <c r="AY552" s="312"/>
      <c r="AZ552" s="312"/>
      <c r="BA552" s="312"/>
      <c r="BB552" s="312"/>
      <c r="BC552" s="312"/>
      <c r="BD552" s="312"/>
      <c r="BE552" s="312"/>
      <c r="BF552" s="312"/>
      <c r="BG552" s="312"/>
      <c r="BH552" s="312"/>
      <c r="BI552" s="312"/>
      <c r="BJ552" s="312"/>
      <c r="BK552" s="312"/>
      <c r="BL552" s="312"/>
      <c r="BM552" s="312"/>
      <c r="BN552" s="312"/>
      <c r="BO552" s="312"/>
      <c r="BP552" s="312"/>
      <c r="BQ552" s="312"/>
      <c r="BR552" s="312"/>
      <c r="BS552" s="312"/>
      <c r="BT552" s="312"/>
      <c r="BU552" s="312"/>
      <c r="BV552" s="312"/>
      <c r="BW552" s="312"/>
      <c r="BX552" s="312"/>
      <c r="BY552" s="312"/>
      <c r="BZ552" s="312"/>
      <c r="CA552" s="312"/>
      <c r="CB552" s="312"/>
      <c r="CC552" s="312"/>
      <c r="CD552" s="312"/>
      <c r="CE552" s="312"/>
      <c r="CF552" s="312"/>
      <c r="CG552" s="312"/>
      <c r="CH552" s="312"/>
    </row>
    <row r="553" spans="1:86" s="301" customFormat="1" ht="35.65" customHeight="1" thickBot="1" x14ac:dyDescent="0.3">
      <c r="A553" s="2343"/>
      <c r="B553" s="2340"/>
      <c r="C553" s="1877"/>
      <c r="D553" s="2256"/>
      <c r="E553" s="2252"/>
      <c r="F553" s="2256"/>
      <c r="G553" s="2252"/>
      <c r="H553" s="606"/>
      <c r="I553" s="606"/>
      <c r="J553" s="606"/>
      <c r="K553" s="606"/>
      <c r="L553" s="606"/>
      <c r="M553" s="671"/>
      <c r="N553" s="675"/>
      <c r="O553" s="1068"/>
      <c r="P553" s="34"/>
      <c r="Q553" s="883"/>
      <c r="R553" s="883"/>
      <c r="S553" s="650"/>
      <c r="T553" s="1212"/>
      <c r="U553" s="1830"/>
      <c r="V553" s="1233"/>
      <c r="W553" s="1113">
        <v>6036</v>
      </c>
      <c r="X553" s="1068" t="s">
        <v>3</v>
      </c>
      <c r="Y553" s="2435"/>
      <c r="Z553" s="674"/>
      <c r="AA553" s="967"/>
      <c r="AB553" s="967"/>
      <c r="AC553" s="967"/>
      <c r="AD553" s="967"/>
      <c r="AE553" s="967"/>
      <c r="AF553" s="967"/>
      <c r="AG553" s="967"/>
      <c r="AH553" s="967"/>
      <c r="AI553" s="967"/>
      <c r="AJ553" s="967"/>
      <c r="AK553" s="967"/>
      <c r="AL553" s="967"/>
      <c r="AM553" s="967"/>
      <c r="AN553" s="967"/>
      <c r="AO553" s="967"/>
      <c r="AP553" s="967"/>
      <c r="AQ553" s="967"/>
      <c r="AR553" s="1156"/>
      <c r="AS553" s="312"/>
      <c r="AT553" s="312"/>
      <c r="AU553" s="312"/>
      <c r="AV553" s="312"/>
      <c r="AW553" s="312"/>
      <c r="AX553" s="312"/>
      <c r="AY553" s="312"/>
      <c r="AZ553" s="312"/>
      <c r="BA553" s="312"/>
      <c r="BB553" s="312"/>
      <c r="BC553" s="312"/>
      <c r="BD553" s="312"/>
      <c r="BE553" s="312"/>
      <c r="BF553" s="312"/>
      <c r="BG553" s="312"/>
      <c r="BH553" s="312"/>
      <c r="BI553" s="312"/>
      <c r="BJ553" s="312"/>
      <c r="BK553" s="312"/>
      <c r="BL553" s="312"/>
      <c r="BM553" s="312"/>
      <c r="BN553" s="312"/>
      <c r="BO553" s="312"/>
      <c r="BP553" s="312"/>
      <c r="BQ553" s="312"/>
      <c r="BR553" s="312"/>
      <c r="BS553" s="312"/>
      <c r="BT553" s="312"/>
      <c r="BU553" s="312"/>
      <c r="BV553" s="312"/>
      <c r="BW553" s="312"/>
      <c r="BX553" s="312"/>
      <c r="BY553" s="312"/>
      <c r="BZ553" s="312"/>
      <c r="CA553" s="312"/>
      <c r="CB553" s="312"/>
      <c r="CC553" s="312"/>
      <c r="CD553" s="312"/>
      <c r="CE553" s="312"/>
      <c r="CF553" s="312"/>
      <c r="CG553" s="312"/>
      <c r="CH553" s="312"/>
    </row>
    <row r="554" spans="1:86" s="301" customFormat="1" ht="35.65" customHeight="1" thickBot="1" x14ac:dyDescent="0.3">
      <c r="A554" s="2343"/>
      <c r="B554" s="2340"/>
      <c r="C554" s="1877"/>
      <c r="D554" s="2256"/>
      <c r="E554" s="2252"/>
      <c r="F554" s="2256"/>
      <c r="G554" s="2252"/>
      <c r="H554" s="1014"/>
      <c r="I554" s="1014"/>
      <c r="J554" s="1014"/>
      <c r="K554" s="1014"/>
      <c r="L554" s="1014"/>
      <c r="M554" s="672"/>
      <c r="N554" s="676"/>
      <c r="O554" s="1014"/>
      <c r="P554" s="661"/>
      <c r="Q554" s="900"/>
      <c r="R554" s="900"/>
      <c r="S554" s="669"/>
      <c r="T554" s="1236"/>
      <c r="U554" s="1773"/>
      <c r="V554" s="885" t="s">
        <v>6</v>
      </c>
      <c r="W554" s="788">
        <v>1.4570000000000001</v>
      </c>
      <c r="X554" s="544" t="s">
        <v>2</v>
      </c>
      <c r="Y554" s="792">
        <v>436.44799999999998</v>
      </c>
      <c r="Z554" s="674"/>
      <c r="AA554" s="967"/>
      <c r="AB554" s="967"/>
      <c r="AC554" s="967"/>
      <c r="AD554" s="967"/>
      <c r="AE554" s="967"/>
      <c r="AF554" s="967"/>
      <c r="AG554" s="967"/>
      <c r="AH554" s="967"/>
      <c r="AI554" s="967"/>
      <c r="AJ554" s="967"/>
      <c r="AK554" s="967"/>
      <c r="AL554" s="967"/>
      <c r="AM554" s="967"/>
      <c r="AN554" s="967"/>
      <c r="AO554" s="967"/>
      <c r="AP554" s="967"/>
      <c r="AQ554" s="967"/>
      <c r="AR554" s="1049"/>
      <c r="AS554" s="312"/>
      <c r="AT554" s="312"/>
      <c r="AU554" s="312"/>
      <c r="AV554" s="312"/>
      <c r="AW554" s="312"/>
      <c r="AX554" s="312"/>
      <c r="AY554" s="312"/>
      <c r="AZ554" s="312"/>
      <c r="BA554" s="312"/>
      <c r="BB554" s="312"/>
      <c r="BC554" s="312"/>
      <c r="BD554" s="312"/>
      <c r="BE554" s="312"/>
      <c r="BF554" s="312"/>
      <c r="BG554" s="312"/>
      <c r="BH554" s="312"/>
      <c r="BI554" s="312"/>
      <c r="BJ554" s="312"/>
      <c r="BK554" s="312"/>
      <c r="BL554" s="312"/>
      <c r="BM554" s="312"/>
      <c r="BN554" s="312"/>
      <c r="BO554" s="312"/>
      <c r="BP554" s="312"/>
      <c r="BQ554" s="312"/>
      <c r="BR554" s="312"/>
      <c r="BS554" s="312"/>
      <c r="BT554" s="312"/>
      <c r="BU554" s="312"/>
      <c r="BV554" s="312"/>
      <c r="BW554" s="312"/>
      <c r="BX554" s="312"/>
      <c r="BY554" s="312"/>
      <c r="BZ554" s="312"/>
      <c r="CA554" s="312"/>
      <c r="CB554" s="312"/>
      <c r="CC554" s="312"/>
      <c r="CD554" s="312"/>
      <c r="CE554" s="312"/>
      <c r="CF554" s="312"/>
      <c r="CG554" s="312"/>
      <c r="CH554" s="312"/>
    </row>
    <row r="555" spans="1:86" s="301" customFormat="1" ht="35.65" customHeight="1" x14ac:dyDescent="0.25">
      <c r="A555" s="2343"/>
      <c r="B555" s="2340"/>
      <c r="C555" s="1877"/>
      <c r="D555" s="2256"/>
      <c r="E555" s="2252"/>
      <c r="F555" s="2256"/>
      <c r="G555" s="2252"/>
      <c r="H555" s="906"/>
      <c r="I555" s="1120"/>
      <c r="J555" s="1120"/>
      <c r="K555" s="1120"/>
      <c r="L555" s="1120"/>
      <c r="M555" s="2436"/>
      <c r="N555" s="302"/>
      <c r="O555" s="302"/>
      <c r="P555" s="460"/>
      <c r="Q555" s="906"/>
      <c r="R555" s="1120"/>
      <c r="S555" s="492"/>
      <c r="T555" s="1278" t="s">
        <v>1472</v>
      </c>
      <c r="U555" s="1278" t="s">
        <v>1473</v>
      </c>
      <c r="V555" s="1238" t="s">
        <v>43</v>
      </c>
      <c r="W555" s="905">
        <v>0.22</v>
      </c>
      <c r="X555" s="905" t="s">
        <v>2</v>
      </c>
      <c r="Y555" s="2437">
        <f>4225.3044-Y557</f>
        <v>3945.8773999999999</v>
      </c>
      <c r="Z555" s="674"/>
      <c r="AA555" s="967"/>
      <c r="AB555" s="967"/>
      <c r="AC555" s="967"/>
      <c r="AD555" s="967"/>
      <c r="AE555" s="967"/>
      <c r="AF555" s="967"/>
      <c r="AG555" s="967"/>
      <c r="AH555" s="967"/>
      <c r="AI555" s="967"/>
      <c r="AJ555" s="967"/>
      <c r="AK555" s="967"/>
      <c r="AL555" s="967"/>
      <c r="AM555" s="967"/>
      <c r="AN555" s="967"/>
      <c r="AO555" s="967"/>
      <c r="AP555" s="967"/>
      <c r="AQ555" s="967"/>
      <c r="AR555" s="1050"/>
      <c r="AS555" s="312"/>
      <c r="AT555" s="312"/>
      <c r="AU555" s="312"/>
      <c r="AV555" s="312"/>
      <c r="AW555" s="312"/>
      <c r="AX555" s="312"/>
      <c r="AY555" s="312"/>
      <c r="AZ555" s="312"/>
      <c r="BA555" s="312"/>
      <c r="BB555" s="312"/>
      <c r="BC555" s="312"/>
      <c r="BD555" s="312"/>
      <c r="BE555" s="312"/>
      <c r="BF555" s="312"/>
      <c r="BG555" s="312"/>
      <c r="BH555" s="312"/>
      <c r="BI555" s="312"/>
      <c r="BJ555" s="312"/>
      <c r="BK555" s="312"/>
      <c r="BL555" s="312"/>
      <c r="BM555" s="312"/>
      <c r="BN555" s="312"/>
      <c r="BO555" s="312"/>
      <c r="BP555" s="312"/>
      <c r="BQ555" s="312"/>
      <c r="BR555" s="312"/>
      <c r="BS555" s="312"/>
      <c r="BT555" s="312"/>
      <c r="BU555" s="312"/>
      <c r="BV555" s="312"/>
      <c r="BW555" s="312"/>
      <c r="BX555" s="312"/>
      <c r="BY555" s="312"/>
      <c r="BZ555" s="312"/>
      <c r="CA555" s="312"/>
      <c r="CB555" s="312"/>
      <c r="CC555" s="312"/>
      <c r="CD555" s="312"/>
      <c r="CE555" s="312"/>
      <c r="CF555" s="312"/>
      <c r="CG555" s="312"/>
      <c r="CH555" s="312"/>
    </row>
    <row r="556" spans="1:86" s="301" customFormat="1" ht="35.65" customHeight="1" thickBot="1" x14ac:dyDescent="0.3">
      <c r="A556" s="2343"/>
      <c r="B556" s="2340"/>
      <c r="C556" s="1877"/>
      <c r="D556" s="2256"/>
      <c r="E556" s="2252"/>
      <c r="F556" s="2256"/>
      <c r="G556" s="2252"/>
      <c r="H556" s="906"/>
      <c r="I556" s="1120"/>
      <c r="J556" s="1120"/>
      <c r="K556" s="1120"/>
      <c r="L556" s="1120"/>
      <c r="M556" s="2436"/>
      <c r="N556" s="302"/>
      <c r="O556" s="302"/>
      <c r="P556" s="460"/>
      <c r="Q556" s="892"/>
      <c r="R556" s="1120"/>
      <c r="S556" s="492"/>
      <c r="T556" s="1329"/>
      <c r="U556" s="1329"/>
      <c r="V556" s="1233"/>
      <c r="W556" s="892">
        <v>3850</v>
      </c>
      <c r="X556" s="906" t="s">
        <v>3</v>
      </c>
      <c r="Y556" s="2438"/>
      <c r="Z556" s="674"/>
      <c r="AA556" s="967"/>
      <c r="AB556" s="967"/>
      <c r="AC556" s="967"/>
      <c r="AD556" s="967"/>
      <c r="AE556" s="967"/>
      <c r="AF556" s="967"/>
      <c r="AG556" s="967"/>
      <c r="AH556" s="967"/>
      <c r="AI556" s="967"/>
      <c r="AJ556" s="967"/>
      <c r="AK556" s="967"/>
      <c r="AL556" s="967"/>
      <c r="AM556" s="967"/>
      <c r="AN556" s="967"/>
      <c r="AO556" s="967"/>
      <c r="AP556" s="967"/>
      <c r="AQ556" s="967"/>
      <c r="AR556" s="1050"/>
      <c r="AS556" s="312"/>
      <c r="AT556" s="312"/>
      <c r="AU556" s="312"/>
      <c r="AV556" s="312"/>
      <c r="AW556" s="312"/>
      <c r="AX556" s="312"/>
      <c r="AY556" s="312"/>
      <c r="AZ556" s="312"/>
      <c r="BA556" s="312"/>
      <c r="BB556" s="312"/>
      <c r="BC556" s="312"/>
      <c r="BD556" s="312"/>
      <c r="BE556" s="312"/>
      <c r="BF556" s="312"/>
      <c r="BG556" s="312"/>
      <c r="BH556" s="312"/>
      <c r="BI556" s="312"/>
      <c r="BJ556" s="312"/>
      <c r="BK556" s="312"/>
      <c r="BL556" s="312"/>
      <c r="BM556" s="312"/>
      <c r="BN556" s="312"/>
      <c r="BO556" s="312"/>
      <c r="BP556" s="312"/>
      <c r="BQ556" s="312"/>
      <c r="BR556" s="312"/>
      <c r="BS556" s="312"/>
      <c r="BT556" s="312"/>
      <c r="BU556" s="312"/>
      <c r="BV556" s="312"/>
      <c r="BW556" s="312"/>
      <c r="BX556" s="312"/>
      <c r="BY556" s="312"/>
      <c r="BZ556" s="312"/>
      <c r="CA556" s="312"/>
      <c r="CB556" s="312"/>
      <c r="CC556" s="312"/>
      <c r="CD556" s="312"/>
      <c r="CE556" s="312"/>
      <c r="CF556" s="312"/>
      <c r="CG556" s="312"/>
      <c r="CH556" s="312"/>
    </row>
    <row r="557" spans="1:86" s="301" customFormat="1" ht="35.65" customHeight="1" thickBot="1" x14ac:dyDescent="0.3">
      <c r="A557" s="2343"/>
      <c r="B557" s="2340"/>
      <c r="C557" s="1877"/>
      <c r="D557" s="2256"/>
      <c r="E557" s="2252"/>
      <c r="F557" s="2256"/>
      <c r="G557" s="2252"/>
      <c r="H557" s="1017"/>
      <c r="I557" s="1061"/>
      <c r="J557" s="1061"/>
      <c r="K557" s="1061"/>
      <c r="L557" s="1061"/>
      <c r="M557" s="2439"/>
      <c r="N557" s="607"/>
      <c r="O557" s="611"/>
      <c r="P557" s="2440"/>
      <c r="Q557" s="685"/>
      <c r="R557" s="1091"/>
      <c r="S557" s="2441"/>
      <c r="T557" s="1218"/>
      <c r="U557" s="1218"/>
      <c r="V557" s="896" t="s">
        <v>6</v>
      </c>
      <c r="W557" s="920">
        <v>1.49</v>
      </c>
      <c r="X557" s="544" t="s">
        <v>2</v>
      </c>
      <c r="Y557" s="944">
        <v>279.42700000000002</v>
      </c>
      <c r="Z557" s="674"/>
      <c r="AA557" s="967"/>
      <c r="AB557" s="967"/>
      <c r="AC557" s="967"/>
      <c r="AD557" s="967"/>
      <c r="AE557" s="967"/>
      <c r="AF557" s="967"/>
      <c r="AG557" s="967"/>
      <c r="AH557" s="967"/>
      <c r="AI557" s="967"/>
      <c r="AJ557" s="967"/>
      <c r="AK557" s="967"/>
      <c r="AL557" s="967"/>
      <c r="AM557" s="967"/>
      <c r="AN557" s="967"/>
      <c r="AO557" s="967"/>
      <c r="AP557" s="967"/>
      <c r="AQ557" s="967"/>
      <c r="AR557" s="1049"/>
      <c r="AS557" s="312"/>
      <c r="AT557" s="312"/>
      <c r="AU557" s="312"/>
      <c r="AV557" s="312"/>
      <c r="AW557" s="312"/>
      <c r="AX557" s="312"/>
      <c r="AY557" s="312"/>
      <c r="AZ557" s="312"/>
      <c r="BA557" s="312"/>
      <c r="BB557" s="312"/>
      <c r="BC557" s="312"/>
      <c r="BD557" s="312"/>
      <c r="BE557" s="312"/>
      <c r="BF557" s="312"/>
      <c r="BG557" s="312"/>
      <c r="BH557" s="312"/>
      <c r="BI557" s="312"/>
      <c r="BJ557" s="312"/>
      <c r="BK557" s="312"/>
      <c r="BL557" s="312"/>
      <c r="BM557" s="312"/>
      <c r="BN557" s="312"/>
      <c r="BO557" s="312"/>
      <c r="BP557" s="312"/>
      <c r="BQ557" s="312"/>
      <c r="BR557" s="312"/>
      <c r="BS557" s="312"/>
      <c r="BT557" s="312"/>
      <c r="BU557" s="312"/>
      <c r="BV557" s="312"/>
      <c r="BW557" s="312"/>
      <c r="BX557" s="312"/>
      <c r="BY557" s="312"/>
      <c r="BZ557" s="312"/>
      <c r="CA557" s="312"/>
      <c r="CB557" s="312"/>
      <c r="CC557" s="312"/>
      <c r="CD557" s="312"/>
      <c r="CE557" s="312"/>
      <c r="CF557" s="312"/>
      <c r="CG557" s="312"/>
      <c r="CH557" s="312"/>
    </row>
    <row r="558" spans="1:86" s="301" customFormat="1" ht="89.25" customHeight="1" thickBot="1" x14ac:dyDescent="0.3">
      <c r="A558" s="2344"/>
      <c r="B558" s="2341"/>
      <c r="C558" s="2338"/>
      <c r="D558" s="2257"/>
      <c r="E558" s="2253"/>
      <c r="F558" s="2257"/>
      <c r="G558" s="2253"/>
      <c r="H558" s="1062"/>
      <c r="I558" s="2442"/>
      <c r="J558" s="2442"/>
      <c r="K558" s="2442"/>
      <c r="L558" s="2442"/>
      <c r="M558" s="1138"/>
      <c r="N558" s="761"/>
      <c r="O558" s="762"/>
      <c r="P558" s="2443"/>
      <c r="Q558" s="759"/>
      <c r="R558" s="2442"/>
      <c r="S558" s="1119"/>
      <c r="T558" s="874" t="s">
        <v>1517</v>
      </c>
      <c r="U558" s="874" t="s">
        <v>1517</v>
      </c>
      <c r="V558" s="34" t="s">
        <v>1046</v>
      </c>
      <c r="W558" s="878">
        <v>1</v>
      </c>
      <c r="X558" s="878" t="s">
        <v>8</v>
      </c>
      <c r="Y558" s="522">
        <v>586.46803</v>
      </c>
      <c r="Z558" s="674"/>
      <c r="AA558" s="967"/>
      <c r="AB558" s="967"/>
      <c r="AC558" s="967"/>
      <c r="AD558" s="967"/>
      <c r="AE558" s="967"/>
      <c r="AF558" s="967"/>
      <c r="AG558" s="967"/>
      <c r="AH558" s="967"/>
      <c r="AI558" s="967"/>
      <c r="AJ558" s="967"/>
      <c r="AK558" s="967"/>
      <c r="AL558" s="967"/>
      <c r="AM558" s="967"/>
      <c r="AN558" s="967"/>
      <c r="AO558" s="967"/>
      <c r="AP558" s="967"/>
      <c r="AQ558" s="967"/>
      <c r="AR558" s="1050"/>
      <c r="AS558" s="312"/>
      <c r="AT558" s="312"/>
      <c r="AU558" s="312"/>
      <c r="AV558" s="312"/>
      <c r="AW558" s="312"/>
      <c r="AX558" s="312"/>
      <c r="AY558" s="312"/>
      <c r="AZ558" s="312"/>
      <c r="BA558" s="312"/>
      <c r="BB558" s="312"/>
      <c r="BC558" s="312"/>
      <c r="BD558" s="312"/>
      <c r="BE558" s="312"/>
      <c r="BF558" s="312"/>
      <c r="BG558" s="312"/>
      <c r="BH558" s="312"/>
      <c r="BI558" s="312"/>
      <c r="BJ558" s="312"/>
      <c r="BK558" s="312"/>
      <c r="BL558" s="312"/>
      <c r="BM558" s="312"/>
      <c r="BN558" s="312"/>
      <c r="BO558" s="312"/>
      <c r="BP558" s="312"/>
      <c r="BQ558" s="312"/>
      <c r="BR558" s="312"/>
      <c r="BS558" s="312"/>
      <c r="BT558" s="312"/>
      <c r="BU558" s="312"/>
      <c r="BV558" s="312"/>
      <c r="BW558" s="312"/>
      <c r="BX558" s="312"/>
      <c r="BY558" s="312"/>
      <c r="BZ558" s="312"/>
      <c r="CA558" s="312"/>
      <c r="CB558" s="312"/>
      <c r="CC558" s="312"/>
      <c r="CD558" s="312"/>
      <c r="CE558" s="312"/>
      <c r="CF558" s="312"/>
      <c r="CG558" s="312"/>
      <c r="CH558" s="312"/>
    </row>
    <row r="559" spans="1:86" s="301" customFormat="1" ht="32.85" customHeight="1" x14ac:dyDescent="0.25">
      <c r="A559" s="2342">
        <f>A548+1</f>
        <v>15</v>
      </c>
      <c r="B559" s="1777" t="s">
        <v>390</v>
      </c>
      <c r="C559" s="1876" t="s">
        <v>457</v>
      </c>
      <c r="D559" s="1337">
        <v>2.4169999999999998</v>
      </c>
      <c r="E559" s="1270">
        <v>30926.2</v>
      </c>
      <c r="F559" s="1337">
        <v>2.4169999999999998</v>
      </c>
      <c r="G559" s="1888">
        <v>30926.2</v>
      </c>
      <c r="H559" s="1772"/>
      <c r="I559" s="1772"/>
      <c r="J559" s="1772"/>
      <c r="K559" s="1772"/>
      <c r="L559" s="1772"/>
      <c r="M559" s="1772"/>
      <c r="N559" s="1772" t="s">
        <v>441</v>
      </c>
      <c r="O559" s="2281" t="s">
        <v>1205</v>
      </c>
      <c r="P559" s="2254" t="s">
        <v>43</v>
      </c>
      <c r="Q559" s="1012">
        <v>0.63</v>
      </c>
      <c r="R559" s="1012" t="s">
        <v>2</v>
      </c>
      <c r="S559" s="2273">
        <f>15181.7856-S561-S562</f>
        <v>14822.194729999999</v>
      </c>
      <c r="T559" s="609"/>
      <c r="U559" s="934"/>
      <c r="V559" s="934"/>
      <c r="W559" s="934"/>
      <c r="X559" s="934"/>
      <c r="Y559" s="619"/>
      <c r="Z559" s="967"/>
      <c r="AA559" s="967"/>
      <c r="AB559" s="967"/>
      <c r="AC559" s="967"/>
      <c r="AD559" s="967"/>
      <c r="AE559" s="967"/>
      <c r="AF559" s="967"/>
      <c r="AG559" s="967"/>
      <c r="AH559" s="967"/>
      <c r="AI559" s="967"/>
      <c r="AJ559" s="967"/>
      <c r="AK559" s="967"/>
      <c r="AL559" s="967"/>
      <c r="AM559" s="967"/>
      <c r="AN559" s="967"/>
      <c r="AO559" s="967"/>
      <c r="AP559" s="967"/>
      <c r="AQ559" s="967"/>
      <c r="AR559" s="1285" t="s">
        <v>1204</v>
      </c>
      <c r="AS559" s="312"/>
      <c r="AT559" s="312"/>
      <c r="AU559" s="312"/>
      <c r="AV559" s="312"/>
      <c r="AW559" s="312"/>
      <c r="AX559" s="312"/>
      <c r="AY559" s="312"/>
      <c r="AZ559" s="312"/>
      <c r="BA559" s="312"/>
      <c r="BB559" s="312"/>
      <c r="BC559" s="312"/>
      <c r="BD559" s="312"/>
      <c r="BE559" s="312"/>
      <c r="BF559" s="312"/>
      <c r="BG559" s="312"/>
      <c r="BH559" s="312"/>
      <c r="BI559" s="312"/>
      <c r="BJ559" s="312"/>
      <c r="BK559" s="312"/>
      <c r="BL559" s="312"/>
      <c r="BM559" s="312"/>
      <c r="BN559" s="312"/>
      <c r="BO559" s="312"/>
      <c r="BP559" s="312"/>
      <c r="BQ559" s="312"/>
      <c r="BR559" s="312"/>
      <c r="BS559" s="312"/>
      <c r="BT559" s="312"/>
      <c r="BU559" s="312"/>
      <c r="BV559" s="312"/>
      <c r="BW559" s="312"/>
      <c r="BX559" s="312"/>
      <c r="BY559" s="312"/>
      <c r="BZ559" s="312"/>
      <c r="CA559" s="312"/>
      <c r="CB559" s="312"/>
      <c r="CC559" s="312"/>
      <c r="CD559" s="312"/>
      <c r="CE559" s="312"/>
      <c r="CF559" s="312"/>
      <c r="CG559" s="312"/>
      <c r="CH559" s="312"/>
    </row>
    <row r="560" spans="1:86" s="301" customFormat="1" ht="32.85" customHeight="1" thickBot="1" x14ac:dyDescent="0.3">
      <c r="A560" s="2372"/>
      <c r="B560" s="1830"/>
      <c r="C560" s="1877"/>
      <c r="D560" s="1779"/>
      <c r="E560" s="1835"/>
      <c r="F560" s="1779"/>
      <c r="G560" s="2259"/>
      <c r="H560" s="1773"/>
      <c r="I560" s="1773"/>
      <c r="J560" s="1773"/>
      <c r="K560" s="1773"/>
      <c r="L560" s="1773"/>
      <c r="M560" s="1773"/>
      <c r="N560" s="1719"/>
      <c r="O560" s="2282"/>
      <c r="P560" s="1635"/>
      <c r="Q560" s="788">
        <v>10800</v>
      </c>
      <c r="R560" s="606" t="s">
        <v>3</v>
      </c>
      <c r="S560" s="2274"/>
      <c r="T560" s="397"/>
      <c r="U560" s="967"/>
      <c r="V560" s="967"/>
      <c r="W560" s="967"/>
      <c r="X560" s="967"/>
      <c r="Y560" s="620"/>
      <c r="Z560" s="967"/>
      <c r="AA560" s="967"/>
      <c r="AB560" s="967"/>
      <c r="AC560" s="967"/>
      <c r="AD560" s="967"/>
      <c r="AE560" s="967"/>
      <c r="AF560" s="967"/>
      <c r="AG560" s="967"/>
      <c r="AH560" s="967"/>
      <c r="AI560" s="967"/>
      <c r="AJ560" s="967"/>
      <c r="AK560" s="967"/>
      <c r="AL560" s="967"/>
      <c r="AM560" s="967"/>
      <c r="AN560" s="967"/>
      <c r="AO560" s="967"/>
      <c r="AP560" s="967"/>
      <c r="AQ560" s="967"/>
      <c r="AR560" s="1213"/>
      <c r="AS560" s="312"/>
      <c r="AT560" s="312"/>
      <c r="AU560" s="312"/>
      <c r="AV560" s="312"/>
      <c r="AW560" s="312"/>
      <c r="AX560" s="312"/>
      <c r="AY560" s="312"/>
      <c r="AZ560" s="312"/>
      <c r="BA560" s="312"/>
      <c r="BB560" s="312"/>
      <c r="BC560" s="312"/>
      <c r="BD560" s="312"/>
      <c r="BE560" s="312"/>
      <c r="BF560" s="312"/>
      <c r="BG560" s="312"/>
      <c r="BH560" s="312"/>
      <c r="BI560" s="312"/>
      <c r="BJ560" s="312"/>
      <c r="BK560" s="312"/>
      <c r="BL560" s="312"/>
      <c r="BM560" s="312"/>
      <c r="BN560" s="312"/>
      <c r="BO560" s="312"/>
      <c r="BP560" s="312"/>
      <c r="BQ560" s="312"/>
      <c r="BR560" s="312"/>
      <c r="BS560" s="312"/>
      <c r="BT560" s="312"/>
      <c r="BU560" s="312"/>
      <c r="BV560" s="312"/>
      <c r="BW560" s="312"/>
      <c r="BX560" s="312"/>
      <c r="BY560" s="312"/>
      <c r="BZ560" s="312"/>
      <c r="CA560" s="312"/>
      <c r="CB560" s="312"/>
      <c r="CC560" s="312"/>
      <c r="CD560" s="312"/>
      <c r="CE560" s="312"/>
      <c r="CF560" s="312"/>
      <c r="CG560" s="312"/>
      <c r="CH560" s="312"/>
    </row>
    <row r="561" spans="1:86" s="301" customFormat="1" ht="25.15" customHeight="1" x14ac:dyDescent="0.25">
      <c r="A561" s="2372"/>
      <c r="B561" s="1830"/>
      <c r="C561" s="1877"/>
      <c r="D561" s="1779"/>
      <c r="E561" s="1835"/>
      <c r="F561" s="1779"/>
      <c r="G561" s="2259"/>
      <c r="H561" s="1028"/>
      <c r="I561" s="1028"/>
      <c r="J561" s="1028"/>
      <c r="K561" s="1028"/>
      <c r="L561" s="1028"/>
      <c r="M561" s="1028"/>
      <c r="N561" s="1719"/>
      <c r="O561" s="2282"/>
      <c r="P561" s="516" t="s">
        <v>6</v>
      </c>
      <c r="Q561" s="520">
        <v>1.264</v>
      </c>
      <c r="R561" s="237" t="s">
        <v>2</v>
      </c>
      <c r="S561" s="521">
        <v>11.89025</v>
      </c>
      <c r="T561" s="397"/>
      <c r="U561" s="967"/>
      <c r="V561" s="967"/>
      <c r="W561" s="967"/>
      <c r="X561" s="967"/>
      <c r="Y561" s="620"/>
      <c r="Z561" s="967"/>
      <c r="AA561" s="967"/>
      <c r="AB561" s="967"/>
      <c r="AC561" s="967"/>
      <c r="AD561" s="967"/>
      <c r="AE561" s="967"/>
      <c r="AF561" s="967"/>
      <c r="AG561" s="967"/>
      <c r="AH561" s="967"/>
      <c r="AI561" s="967"/>
      <c r="AJ561" s="967"/>
      <c r="AK561" s="967"/>
      <c r="AL561" s="967"/>
      <c r="AM561" s="967"/>
      <c r="AN561" s="967"/>
      <c r="AO561" s="967"/>
      <c r="AP561" s="967"/>
      <c r="AQ561" s="967"/>
      <c r="AR561" s="880"/>
      <c r="AS561" s="312"/>
      <c r="AT561" s="312"/>
      <c r="AU561" s="312"/>
      <c r="AV561" s="312"/>
      <c r="AW561" s="312"/>
      <c r="AX561" s="312"/>
      <c r="AY561" s="312"/>
      <c r="AZ561" s="312"/>
      <c r="BA561" s="312"/>
      <c r="BB561" s="312"/>
      <c r="BC561" s="312"/>
      <c r="BD561" s="312"/>
      <c r="BE561" s="312"/>
      <c r="BF561" s="312"/>
      <c r="BG561" s="312"/>
      <c r="BH561" s="312"/>
      <c r="BI561" s="312"/>
      <c r="BJ561" s="312"/>
      <c r="BK561" s="312"/>
      <c r="BL561" s="312"/>
      <c r="BM561" s="312"/>
      <c r="BN561" s="312"/>
      <c r="BO561" s="312"/>
      <c r="BP561" s="312"/>
      <c r="BQ561" s="312"/>
      <c r="BR561" s="312"/>
      <c r="BS561" s="312"/>
      <c r="BT561" s="312"/>
      <c r="BU561" s="312"/>
      <c r="BV561" s="312"/>
      <c r="BW561" s="312"/>
      <c r="BX561" s="312"/>
      <c r="BY561" s="312"/>
      <c r="BZ561" s="312"/>
      <c r="CA561" s="312"/>
      <c r="CB561" s="312"/>
      <c r="CC561" s="312"/>
      <c r="CD561" s="312"/>
      <c r="CE561" s="312"/>
      <c r="CF561" s="312"/>
      <c r="CG561" s="312"/>
      <c r="CH561" s="312"/>
    </row>
    <row r="562" spans="1:86" s="301" customFormat="1" ht="105.4" customHeight="1" thickBot="1" x14ac:dyDescent="0.3">
      <c r="A562" s="2372"/>
      <c r="B562" s="1830"/>
      <c r="C562" s="1877"/>
      <c r="D562" s="1779"/>
      <c r="E562" s="1835"/>
      <c r="F562" s="1779"/>
      <c r="G562" s="2259"/>
      <c r="H562" s="1063"/>
      <c r="I562" s="1063"/>
      <c r="J562" s="1063"/>
      <c r="K562" s="1063"/>
      <c r="L562" s="1063"/>
      <c r="M562" s="1063"/>
      <c r="N562" s="1771"/>
      <c r="O562" s="2281"/>
      <c r="P562" s="1148" t="s">
        <v>1398</v>
      </c>
      <c r="Q562" s="891">
        <v>25.2</v>
      </c>
      <c r="R562" s="891" t="s">
        <v>4</v>
      </c>
      <c r="S562" s="1087">
        <v>347.70062000000001</v>
      </c>
      <c r="T562" s="615"/>
      <c r="U562" s="932"/>
      <c r="V562" s="932"/>
      <c r="W562" s="932"/>
      <c r="X562" s="932"/>
      <c r="Y562" s="621"/>
      <c r="Z562" s="967"/>
      <c r="AA562" s="967"/>
      <c r="AB562" s="967"/>
      <c r="AC562" s="967"/>
      <c r="AD562" s="967"/>
      <c r="AE562" s="967"/>
      <c r="AF562" s="967"/>
      <c r="AG562" s="967"/>
      <c r="AH562" s="967"/>
      <c r="AI562" s="967"/>
      <c r="AJ562" s="967"/>
      <c r="AK562" s="967"/>
      <c r="AL562" s="967"/>
      <c r="AM562" s="967"/>
      <c r="AN562" s="967"/>
      <c r="AO562" s="967"/>
      <c r="AP562" s="967"/>
      <c r="AQ562" s="967"/>
      <c r="AR562" s="880"/>
      <c r="AS562" s="312"/>
      <c r="AT562" s="312"/>
      <c r="AU562" s="312"/>
      <c r="AV562" s="312"/>
      <c r="AW562" s="312"/>
      <c r="AX562" s="312"/>
      <c r="AY562" s="312"/>
      <c r="AZ562" s="312"/>
      <c r="BA562" s="312"/>
      <c r="BB562" s="312"/>
      <c r="BC562" s="312"/>
      <c r="BD562" s="312"/>
      <c r="BE562" s="312"/>
      <c r="BF562" s="312"/>
      <c r="BG562" s="312"/>
      <c r="BH562" s="312"/>
      <c r="BI562" s="312"/>
      <c r="BJ562" s="312"/>
      <c r="BK562" s="312"/>
      <c r="BL562" s="312"/>
      <c r="BM562" s="312"/>
      <c r="BN562" s="312"/>
      <c r="BO562" s="312"/>
      <c r="BP562" s="312"/>
      <c r="BQ562" s="312"/>
      <c r="BR562" s="312"/>
      <c r="BS562" s="312"/>
      <c r="BT562" s="312"/>
      <c r="BU562" s="312"/>
      <c r="BV562" s="312"/>
      <c r="BW562" s="312"/>
      <c r="BX562" s="312"/>
      <c r="BY562" s="312"/>
      <c r="BZ562" s="312"/>
      <c r="CA562" s="312"/>
      <c r="CB562" s="312"/>
      <c r="CC562" s="312"/>
      <c r="CD562" s="312"/>
      <c r="CE562" s="312"/>
      <c r="CF562" s="312"/>
      <c r="CG562" s="312"/>
      <c r="CH562" s="312"/>
    </row>
    <row r="563" spans="1:86" s="301" customFormat="1" ht="31.5" customHeight="1" x14ac:dyDescent="0.25">
      <c r="A563" s="2372"/>
      <c r="B563" s="1830"/>
      <c r="C563" s="1877"/>
      <c r="D563" s="1779"/>
      <c r="E563" s="1835"/>
      <c r="F563" s="1779"/>
      <c r="G563" s="2259"/>
      <c r="H563" s="616"/>
      <c r="I563" s="544"/>
      <c r="J563" s="544"/>
      <c r="K563" s="544"/>
      <c r="L563" s="544"/>
      <c r="M563" s="544"/>
      <c r="N563" s="544"/>
      <c r="O563" s="544"/>
      <c r="P563" s="303"/>
      <c r="Q563" s="882"/>
      <c r="R563" s="882"/>
      <c r="S563" s="610"/>
      <c r="T563" s="1303" t="s">
        <v>1414</v>
      </c>
      <c r="U563" s="1777" t="s">
        <v>1106</v>
      </c>
      <c r="V563" s="1238" t="s">
        <v>43</v>
      </c>
      <c r="W563" s="544">
        <v>1.34</v>
      </c>
      <c r="X563" s="544" t="s">
        <v>2</v>
      </c>
      <c r="Y563" s="2444">
        <f>20779.5984-Y565</f>
        <v>20195.071400000001</v>
      </c>
      <c r="Z563" s="967"/>
      <c r="AA563" s="967"/>
      <c r="AB563" s="967"/>
      <c r="AC563" s="967"/>
      <c r="AD563" s="967"/>
      <c r="AE563" s="967"/>
      <c r="AF563" s="967"/>
      <c r="AG563" s="967"/>
      <c r="AH563" s="967"/>
      <c r="AI563" s="967"/>
      <c r="AJ563" s="967"/>
      <c r="AK563" s="967"/>
      <c r="AL563" s="967"/>
      <c r="AM563" s="967"/>
      <c r="AN563" s="967"/>
      <c r="AO563" s="967"/>
      <c r="AP563" s="967"/>
      <c r="AQ563" s="967"/>
      <c r="AR563" s="1285" t="s">
        <v>1415</v>
      </c>
      <c r="AS563" s="312"/>
      <c r="AT563" s="312"/>
      <c r="AU563" s="312"/>
      <c r="AV563" s="312"/>
      <c r="AW563" s="312"/>
      <c r="AX563" s="312"/>
      <c r="AY563" s="312"/>
      <c r="AZ563" s="312"/>
      <c r="BA563" s="312"/>
      <c r="BB563" s="312"/>
      <c r="BC563" s="312"/>
      <c r="BD563" s="312"/>
      <c r="BE563" s="312"/>
      <c r="BF563" s="312"/>
      <c r="BG563" s="312"/>
      <c r="BH563" s="312"/>
      <c r="BI563" s="312"/>
      <c r="BJ563" s="312"/>
      <c r="BK563" s="312"/>
      <c r="BL563" s="312"/>
      <c r="BM563" s="312"/>
      <c r="BN563" s="312"/>
      <c r="BO563" s="312"/>
      <c r="BP563" s="312"/>
      <c r="BQ563" s="312"/>
      <c r="BR563" s="312"/>
      <c r="BS563" s="312"/>
      <c r="BT563" s="312"/>
      <c r="BU563" s="312"/>
      <c r="BV563" s="312"/>
      <c r="BW563" s="312"/>
      <c r="BX563" s="312"/>
      <c r="BY563" s="312"/>
      <c r="BZ563" s="312"/>
      <c r="CA563" s="312"/>
      <c r="CB563" s="312"/>
      <c r="CC563" s="312"/>
      <c r="CD563" s="312"/>
      <c r="CE563" s="312"/>
      <c r="CF563" s="312"/>
      <c r="CG563" s="312"/>
      <c r="CH563" s="312"/>
    </row>
    <row r="564" spans="1:86" s="301" customFormat="1" ht="31.5" customHeight="1" thickBot="1" x14ac:dyDescent="0.3">
      <c r="A564" s="2372"/>
      <c r="B564" s="1830"/>
      <c r="C564" s="1877"/>
      <c r="D564" s="1779"/>
      <c r="E564" s="1835"/>
      <c r="F564" s="1779"/>
      <c r="G564" s="2259"/>
      <c r="H564" s="617"/>
      <c r="I564" s="606"/>
      <c r="J564" s="606"/>
      <c r="K564" s="606"/>
      <c r="L564" s="606"/>
      <c r="M564" s="606"/>
      <c r="N564" s="1011"/>
      <c r="O564" s="1011"/>
      <c r="P564" s="1148"/>
      <c r="Q564" s="891"/>
      <c r="R564" s="891"/>
      <c r="S564" s="1065"/>
      <c r="T564" s="1212"/>
      <c r="U564" s="1830"/>
      <c r="V564" s="1239"/>
      <c r="W564" s="788">
        <v>13895</v>
      </c>
      <c r="X564" s="606" t="s">
        <v>3</v>
      </c>
      <c r="Y564" s="2445"/>
      <c r="Z564" s="967"/>
      <c r="AA564" s="967"/>
      <c r="AB564" s="967"/>
      <c r="AC564" s="967"/>
      <c r="AD564" s="967"/>
      <c r="AE564" s="967"/>
      <c r="AF564" s="967"/>
      <c r="AG564" s="967"/>
      <c r="AH564" s="967"/>
      <c r="AI564" s="967"/>
      <c r="AJ564" s="967"/>
      <c r="AK564" s="967"/>
      <c r="AL564" s="967"/>
      <c r="AM564" s="967"/>
      <c r="AN564" s="967"/>
      <c r="AO564" s="967"/>
      <c r="AP564" s="967"/>
      <c r="AQ564" s="967"/>
      <c r="AR564" s="1213"/>
      <c r="AS564" s="312"/>
      <c r="AT564" s="312"/>
      <c r="AU564" s="312"/>
      <c r="AV564" s="312"/>
      <c r="AW564" s="312"/>
      <c r="AX564" s="312"/>
      <c r="AY564" s="312"/>
      <c r="AZ564" s="312"/>
      <c r="BA564" s="312"/>
      <c r="BB564" s="312"/>
      <c r="BC564" s="312"/>
      <c r="BD564" s="312"/>
      <c r="BE564" s="312"/>
      <c r="BF564" s="312"/>
      <c r="BG564" s="312"/>
      <c r="BH564" s="312"/>
      <c r="BI564" s="312"/>
      <c r="BJ564" s="312"/>
      <c r="BK564" s="312"/>
      <c r="BL564" s="312"/>
      <c r="BM564" s="312"/>
      <c r="BN564" s="312"/>
      <c r="BO564" s="312"/>
      <c r="BP564" s="312"/>
      <c r="BQ564" s="312"/>
      <c r="BR564" s="312"/>
      <c r="BS564" s="312"/>
      <c r="BT564" s="312"/>
      <c r="BU564" s="312"/>
      <c r="BV564" s="312"/>
      <c r="BW564" s="312"/>
      <c r="BX564" s="312"/>
      <c r="BY564" s="312"/>
      <c r="BZ564" s="312"/>
      <c r="CA564" s="312"/>
      <c r="CB564" s="312"/>
      <c r="CC564" s="312"/>
      <c r="CD564" s="312"/>
      <c r="CE564" s="312"/>
      <c r="CF564" s="312"/>
      <c r="CG564" s="312"/>
      <c r="CH564" s="312"/>
    </row>
    <row r="565" spans="1:86" s="301" customFormat="1" ht="31.5" customHeight="1" x14ac:dyDescent="0.25">
      <c r="A565" s="2373"/>
      <c r="B565" s="1593"/>
      <c r="C565" s="1390"/>
      <c r="D565" s="1375"/>
      <c r="E565" s="1271"/>
      <c r="F565" s="1375"/>
      <c r="G565" s="2260"/>
      <c r="H565" s="679"/>
      <c r="I565" s="1014"/>
      <c r="J565" s="1014"/>
      <c r="K565" s="1014"/>
      <c r="L565" s="1014"/>
      <c r="M565" s="1014"/>
      <c r="N565" s="1014"/>
      <c r="O565" s="1014"/>
      <c r="P565" s="661"/>
      <c r="Q565" s="900"/>
      <c r="R565" s="900"/>
      <c r="S565" s="669"/>
      <c r="T565" s="1213"/>
      <c r="U565" s="1593"/>
      <c r="V565" s="936" t="s">
        <v>6</v>
      </c>
      <c r="W565" s="789">
        <v>4.1239999999999997</v>
      </c>
      <c r="X565" s="544" t="s">
        <v>2</v>
      </c>
      <c r="Y565" s="791">
        <v>584.52700000000004</v>
      </c>
      <c r="Z565" s="967"/>
      <c r="AA565" s="967"/>
      <c r="AB565" s="967"/>
      <c r="AC565" s="967"/>
      <c r="AD565" s="967"/>
      <c r="AE565" s="967"/>
      <c r="AF565" s="967"/>
      <c r="AG565" s="967"/>
      <c r="AH565" s="967"/>
      <c r="AI565" s="967"/>
      <c r="AJ565" s="967"/>
      <c r="AK565" s="967"/>
      <c r="AL565" s="967"/>
      <c r="AM565" s="967"/>
      <c r="AN565" s="967"/>
      <c r="AO565" s="967"/>
      <c r="AP565" s="967"/>
      <c r="AQ565" s="967"/>
      <c r="AR565" s="911"/>
      <c r="AS565" s="312"/>
      <c r="AT565" s="312"/>
      <c r="AU565" s="312"/>
      <c r="AV565" s="312"/>
      <c r="AW565" s="312"/>
      <c r="AX565" s="312"/>
      <c r="AY565" s="312"/>
      <c r="AZ565" s="312"/>
      <c r="BA565" s="312"/>
      <c r="BB565" s="312"/>
      <c r="BC565" s="312"/>
      <c r="BD565" s="312"/>
      <c r="BE565" s="312"/>
      <c r="BF565" s="312"/>
      <c r="BG565" s="312"/>
      <c r="BH565" s="312"/>
      <c r="BI565" s="312"/>
      <c r="BJ565" s="312"/>
      <c r="BK565" s="312"/>
      <c r="BL565" s="312"/>
      <c r="BM565" s="312"/>
      <c r="BN565" s="312"/>
      <c r="BO565" s="312"/>
      <c r="BP565" s="312"/>
      <c r="BQ565" s="312"/>
      <c r="BR565" s="312"/>
      <c r="BS565" s="312"/>
      <c r="BT565" s="312"/>
      <c r="BU565" s="312"/>
      <c r="BV565" s="312"/>
      <c r="BW565" s="312"/>
      <c r="BX565" s="312"/>
      <c r="BY565" s="312"/>
      <c r="BZ565" s="312"/>
      <c r="CA565" s="312"/>
      <c r="CB565" s="312"/>
      <c r="CC565" s="312"/>
      <c r="CD565" s="312"/>
      <c r="CE565" s="312"/>
      <c r="CF565" s="312"/>
      <c r="CG565" s="312"/>
      <c r="CH565" s="312"/>
    </row>
    <row r="566" spans="1:86" s="20" customFormat="1" ht="23.85" customHeight="1" x14ac:dyDescent="0.2">
      <c r="A566" s="2529">
        <v>16</v>
      </c>
      <c r="B566" s="1290" t="s">
        <v>398</v>
      </c>
      <c r="C566" s="1878" t="s">
        <v>1426</v>
      </c>
      <c r="D566" s="1258">
        <v>0.80500000000000005</v>
      </c>
      <c r="E566" s="1361">
        <v>8033</v>
      </c>
      <c r="F566" s="1258">
        <v>0.80500000000000005</v>
      </c>
      <c r="G566" s="1361">
        <f>E566</f>
        <v>8033</v>
      </c>
      <c r="H566" s="906"/>
      <c r="I566" s="1120"/>
      <c r="J566" s="1120"/>
      <c r="K566" s="1120"/>
      <c r="L566" s="1120"/>
      <c r="M566" s="1120"/>
      <c r="N566" s="1215"/>
      <c r="O566" s="1215"/>
      <c r="P566" s="1284"/>
      <c r="Q566" s="906"/>
      <c r="R566" s="1120"/>
      <c r="S566" s="2125"/>
      <c r="T566" s="1215" t="s">
        <v>1458</v>
      </c>
      <c r="U566" s="1215" t="s">
        <v>1459</v>
      </c>
      <c r="V566" s="1233" t="s">
        <v>43</v>
      </c>
      <c r="W566" s="906">
        <v>0.84299999999999997</v>
      </c>
      <c r="X566" s="906" t="s">
        <v>2</v>
      </c>
      <c r="Y566" s="1901">
        <f>12401.62753+589.27869-306.91422-Y568-Y569</f>
        <v>12201.181999999997</v>
      </c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  <c r="AP566" s="61"/>
      <c r="AQ566" s="61"/>
      <c r="AR566" s="61"/>
    </row>
    <row r="567" spans="1:86" s="20" customFormat="1" ht="23.25" customHeight="1" x14ac:dyDescent="0.2">
      <c r="A567" s="2529"/>
      <c r="B567" s="1290"/>
      <c r="C567" s="1210"/>
      <c r="D567" s="1258"/>
      <c r="E567" s="1361"/>
      <c r="F567" s="1258"/>
      <c r="G567" s="1361"/>
      <c r="H567" s="995"/>
      <c r="I567" s="1057"/>
      <c r="J567" s="1057"/>
      <c r="K567" s="1057"/>
      <c r="L567" s="1057"/>
      <c r="M567" s="1057"/>
      <c r="N567" s="1215"/>
      <c r="O567" s="1215"/>
      <c r="P567" s="1284"/>
      <c r="Q567" s="892"/>
      <c r="R567" s="1120"/>
      <c r="S567" s="2125"/>
      <c r="T567" s="1215"/>
      <c r="U567" s="1215"/>
      <c r="V567" s="1233"/>
      <c r="W567" s="901">
        <v>8033</v>
      </c>
      <c r="X567" s="906" t="s">
        <v>3</v>
      </c>
      <c r="Y567" s="1902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  <c r="AP567" s="61"/>
      <c r="AQ567" s="61"/>
      <c r="AR567" s="61"/>
    </row>
    <row r="568" spans="1:86" s="20" customFormat="1" ht="23.25" customHeight="1" x14ac:dyDescent="0.2">
      <c r="A568" s="2529"/>
      <c r="B568" s="1290"/>
      <c r="C568" s="1210"/>
      <c r="D568" s="1258"/>
      <c r="E568" s="1361"/>
      <c r="F568" s="1258"/>
      <c r="G568" s="1361"/>
      <c r="H568" s="1017"/>
      <c r="I568" s="1061"/>
      <c r="J568" s="1061"/>
      <c r="K568" s="1061"/>
      <c r="L568" s="1061"/>
      <c r="M568" s="1061"/>
      <c r="N568" s="874"/>
      <c r="O568" s="874"/>
      <c r="P568" s="906"/>
      <c r="Q568" s="892"/>
      <c r="R568" s="1120"/>
      <c r="S568" s="1134"/>
      <c r="T568" s="1215"/>
      <c r="U568" s="1215"/>
      <c r="V568" s="878" t="s">
        <v>6</v>
      </c>
      <c r="W568" s="1007">
        <v>0.72399999999999998</v>
      </c>
      <c r="X568" s="1012" t="s">
        <v>2</v>
      </c>
      <c r="Y568" s="778">
        <v>470.80700000000002</v>
      </c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  <c r="AP568" s="61"/>
      <c r="AQ568" s="61"/>
      <c r="AR568" s="662"/>
    </row>
    <row r="569" spans="1:86" s="20" customFormat="1" ht="39.75" customHeight="1" x14ac:dyDescent="0.2">
      <c r="A569" s="2529"/>
      <c r="B569" s="1290"/>
      <c r="C569" s="1211"/>
      <c r="D569" s="1258"/>
      <c r="E569" s="1361"/>
      <c r="F569" s="1258"/>
      <c r="G569" s="1361"/>
      <c r="H569" s="1017"/>
      <c r="I569" s="1061"/>
      <c r="J569" s="1061"/>
      <c r="K569" s="1061"/>
      <c r="L569" s="1061"/>
      <c r="M569" s="1061"/>
      <c r="N569" s="874"/>
      <c r="O569" s="874"/>
      <c r="P569" s="906"/>
      <c r="Q569" s="892"/>
      <c r="R569" s="1120"/>
      <c r="S569" s="1134"/>
      <c r="T569" s="1215"/>
      <c r="U569" s="1215"/>
      <c r="V569" s="878" t="s">
        <v>35</v>
      </c>
      <c r="W569" s="1021">
        <v>2</v>
      </c>
      <c r="X569" s="1012" t="s">
        <v>8</v>
      </c>
      <c r="Y569" s="778">
        <v>12.003</v>
      </c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  <c r="AP569" s="61"/>
      <c r="AQ569" s="61"/>
      <c r="AR569" s="662"/>
    </row>
    <row r="570" spans="1:86" s="301" customFormat="1" ht="26.65" customHeight="1" x14ac:dyDescent="0.25">
      <c r="A570" s="1560">
        <v>17</v>
      </c>
      <c r="B570" s="1894">
        <v>2239174</v>
      </c>
      <c r="C570" s="1846" t="s">
        <v>1055</v>
      </c>
      <c r="D570" s="1779">
        <v>1.034</v>
      </c>
      <c r="E570" s="1835">
        <v>7651.6</v>
      </c>
      <c r="F570" s="1779">
        <v>1.034</v>
      </c>
      <c r="G570" s="1835">
        <v>7651.6</v>
      </c>
      <c r="H570" s="1063"/>
      <c r="I570" s="1063"/>
      <c r="J570" s="1063"/>
      <c r="K570" s="1063"/>
      <c r="L570" s="1063"/>
      <c r="M570" s="1063"/>
      <c r="N570" s="1594" t="s">
        <v>441</v>
      </c>
      <c r="O570" s="1594" t="s">
        <v>1207</v>
      </c>
      <c r="P570" s="1233" t="s">
        <v>43</v>
      </c>
      <c r="Q570" s="1068">
        <v>0.43</v>
      </c>
      <c r="R570" s="1068" t="s">
        <v>2</v>
      </c>
      <c r="S570" s="1596">
        <f>6054.00474-S572</f>
        <v>6041.7305900000001</v>
      </c>
      <c r="T570" s="677"/>
      <c r="U570" s="1049"/>
      <c r="V570" s="1049"/>
      <c r="W570" s="789"/>
      <c r="X570" s="934"/>
      <c r="Y570" s="619"/>
      <c r="Z570" s="967"/>
      <c r="AA570" s="967"/>
      <c r="AB570" s="967"/>
      <c r="AC570" s="967"/>
      <c r="AD570" s="967"/>
      <c r="AE570" s="967"/>
      <c r="AF570" s="967"/>
      <c r="AG570" s="967"/>
      <c r="AH570" s="967"/>
      <c r="AI570" s="967"/>
      <c r="AJ570" s="967"/>
      <c r="AK570" s="967"/>
      <c r="AL570" s="967"/>
      <c r="AM570" s="967"/>
      <c r="AN570" s="967"/>
      <c r="AO570" s="967"/>
      <c r="AP570" s="967"/>
      <c r="AQ570" s="967"/>
      <c r="AR570" s="1285" t="s">
        <v>1206</v>
      </c>
      <c r="AS570" s="312"/>
      <c r="AT570" s="312"/>
      <c r="AU570" s="312"/>
      <c r="AV570" s="312"/>
      <c r="AW570" s="312"/>
      <c r="AX570" s="312"/>
      <c r="AY570" s="312"/>
      <c r="AZ570" s="312"/>
      <c r="BA570" s="312"/>
      <c r="BB570" s="312"/>
      <c r="BC570" s="312"/>
      <c r="BD570" s="312"/>
      <c r="BE570" s="312"/>
      <c r="BF570" s="312"/>
      <c r="BG570" s="312"/>
      <c r="BH570" s="312"/>
      <c r="BI570" s="312"/>
      <c r="BJ570" s="312"/>
      <c r="BK570" s="312"/>
      <c r="BL570" s="312"/>
      <c r="BM570" s="312"/>
      <c r="BN570" s="312"/>
      <c r="BO570" s="312"/>
      <c r="BP570" s="312"/>
      <c r="BQ570" s="312"/>
      <c r="BR570" s="312"/>
      <c r="BS570" s="312"/>
      <c r="BT570" s="312"/>
      <c r="BU570" s="312"/>
      <c r="BV570" s="312"/>
      <c r="BW570" s="312"/>
      <c r="BX570" s="312"/>
      <c r="BY570" s="312"/>
      <c r="BZ570" s="312"/>
      <c r="CA570" s="312"/>
      <c r="CB570" s="312"/>
      <c r="CC570" s="312"/>
      <c r="CD570" s="312"/>
      <c r="CE570" s="312"/>
      <c r="CF570" s="312"/>
      <c r="CG570" s="312"/>
      <c r="CH570" s="312"/>
    </row>
    <row r="571" spans="1:86" s="301" customFormat="1" ht="27.6" customHeight="1" x14ac:dyDescent="0.25">
      <c r="A571" s="1560"/>
      <c r="B571" s="1895"/>
      <c r="C571" s="1893"/>
      <c r="D571" s="1576"/>
      <c r="E571" s="1559"/>
      <c r="F571" s="1576"/>
      <c r="G571" s="1559"/>
      <c r="H571" s="1028"/>
      <c r="I571" s="1028"/>
      <c r="J571" s="1028"/>
      <c r="K571" s="1028"/>
      <c r="L571" s="1028"/>
      <c r="M571" s="1028"/>
      <c r="N571" s="1594"/>
      <c r="O571" s="1594"/>
      <c r="P571" s="1233"/>
      <c r="Q571" s="1113">
        <v>4463</v>
      </c>
      <c r="R571" s="1068" t="s">
        <v>3</v>
      </c>
      <c r="S571" s="1597"/>
      <c r="T571" s="678"/>
      <c r="U571" s="967"/>
      <c r="V571" s="967"/>
      <c r="W571" s="967"/>
      <c r="X571" s="967"/>
      <c r="Y571" s="620"/>
      <c r="Z571" s="967"/>
      <c r="AA571" s="967"/>
      <c r="AB571" s="967"/>
      <c r="AC571" s="967"/>
      <c r="AD571" s="967"/>
      <c r="AE571" s="967"/>
      <c r="AF571" s="967"/>
      <c r="AG571" s="967"/>
      <c r="AH571" s="967"/>
      <c r="AI571" s="967"/>
      <c r="AJ571" s="967"/>
      <c r="AK571" s="967"/>
      <c r="AL571" s="967"/>
      <c r="AM571" s="967"/>
      <c r="AN571" s="967"/>
      <c r="AO571" s="967"/>
      <c r="AP571" s="967"/>
      <c r="AQ571" s="967"/>
      <c r="AR571" s="1213"/>
      <c r="AS571" s="312"/>
      <c r="AT571" s="312"/>
      <c r="AU571" s="312"/>
      <c r="AV571" s="312"/>
      <c r="AW571" s="312"/>
      <c r="AX571" s="312"/>
      <c r="AY571" s="312"/>
      <c r="AZ571" s="312"/>
      <c r="BA571" s="312"/>
      <c r="BB571" s="312"/>
      <c r="BC571" s="312"/>
      <c r="BD571" s="312"/>
      <c r="BE571" s="312"/>
      <c r="BF571" s="312"/>
      <c r="BG571" s="312"/>
      <c r="BH571" s="312"/>
      <c r="BI571" s="312"/>
      <c r="BJ571" s="312"/>
      <c r="BK571" s="312"/>
      <c r="BL571" s="312"/>
      <c r="BM571" s="312"/>
      <c r="BN571" s="312"/>
      <c r="BO571" s="312"/>
      <c r="BP571" s="312"/>
      <c r="BQ571" s="312"/>
      <c r="BR571" s="312"/>
      <c r="BS571" s="312"/>
      <c r="BT571" s="312"/>
      <c r="BU571" s="312"/>
      <c r="BV571" s="312"/>
      <c r="BW571" s="312"/>
      <c r="BX571" s="312"/>
      <c r="BY571" s="312"/>
      <c r="BZ571" s="312"/>
      <c r="CA571" s="312"/>
      <c r="CB571" s="312"/>
      <c r="CC571" s="312"/>
      <c r="CD571" s="312"/>
      <c r="CE571" s="312"/>
      <c r="CF571" s="312"/>
      <c r="CG571" s="312"/>
      <c r="CH571" s="312"/>
    </row>
    <row r="572" spans="1:86" s="301" customFormat="1" ht="24.4" customHeight="1" thickBot="1" x14ac:dyDescent="0.3">
      <c r="A572" s="1396"/>
      <c r="B572" s="1896"/>
      <c r="C572" s="1631"/>
      <c r="D572" s="1349"/>
      <c r="E572" s="1588"/>
      <c r="F572" s="1349"/>
      <c r="G572" s="1588"/>
      <c r="H572" s="1028"/>
      <c r="I572" s="1028"/>
      <c r="J572" s="1028"/>
      <c r="K572" s="1028"/>
      <c r="L572" s="1028"/>
      <c r="M572" s="1028"/>
      <c r="N572" s="1594"/>
      <c r="O572" s="1594"/>
      <c r="P572" s="516" t="s">
        <v>6</v>
      </c>
      <c r="Q572" s="520">
        <v>0.43</v>
      </c>
      <c r="R572" s="237" t="s">
        <v>2</v>
      </c>
      <c r="S572" s="549">
        <v>12.274150000000001</v>
      </c>
      <c r="T572" s="678"/>
      <c r="U572" s="967"/>
      <c r="V572" s="967"/>
      <c r="W572" s="967"/>
      <c r="X572" s="932"/>
      <c r="Y572" s="621"/>
      <c r="Z572" s="967"/>
      <c r="AA572" s="967"/>
      <c r="AB572" s="967"/>
      <c r="AC572" s="967"/>
      <c r="AD572" s="967"/>
      <c r="AE572" s="967"/>
      <c r="AF572" s="967"/>
      <c r="AG572" s="967"/>
      <c r="AH572" s="967"/>
      <c r="AI572" s="967"/>
      <c r="AJ572" s="967"/>
      <c r="AK572" s="967"/>
      <c r="AL572" s="967"/>
      <c r="AM572" s="967"/>
      <c r="AN572" s="967"/>
      <c r="AO572" s="967"/>
      <c r="AP572" s="967"/>
      <c r="AQ572" s="967"/>
      <c r="AR572" s="880"/>
      <c r="AS572" s="312"/>
      <c r="AT572" s="312"/>
      <c r="AU572" s="312"/>
      <c r="AV572" s="312"/>
      <c r="AW572" s="312"/>
      <c r="AX572" s="312"/>
      <c r="AY572" s="312"/>
      <c r="AZ572" s="312"/>
      <c r="BA572" s="312"/>
      <c r="BB572" s="312"/>
      <c r="BC572" s="312"/>
      <c r="BD572" s="312"/>
      <c r="BE572" s="312"/>
      <c r="BF572" s="312"/>
      <c r="BG572" s="312"/>
      <c r="BH572" s="312"/>
      <c r="BI572" s="312"/>
      <c r="BJ572" s="312"/>
      <c r="BK572" s="312"/>
      <c r="BL572" s="312"/>
      <c r="BM572" s="312"/>
      <c r="BN572" s="312"/>
      <c r="BO572" s="312"/>
      <c r="BP572" s="312"/>
      <c r="BQ572" s="312"/>
      <c r="BR572" s="312"/>
      <c r="BS572" s="312"/>
      <c r="BT572" s="312"/>
      <c r="BU572" s="312"/>
      <c r="BV572" s="312"/>
      <c r="BW572" s="312"/>
      <c r="BX572" s="312"/>
      <c r="BY572" s="312"/>
      <c r="BZ572" s="312"/>
      <c r="CA572" s="312"/>
      <c r="CB572" s="312"/>
      <c r="CC572" s="312"/>
      <c r="CD572" s="312"/>
      <c r="CE572" s="312"/>
      <c r="CF572" s="312"/>
      <c r="CG572" s="312"/>
      <c r="CH572" s="312"/>
    </row>
    <row r="573" spans="1:86" s="120" customFormat="1" ht="27" customHeight="1" x14ac:dyDescent="0.2">
      <c r="A573" s="1897">
        <v>18</v>
      </c>
      <c r="B573" s="1605">
        <v>3404400</v>
      </c>
      <c r="C573" s="1780" t="s">
        <v>452</v>
      </c>
      <c r="D573" s="1303">
        <v>2.2970000000000002</v>
      </c>
      <c r="E573" s="1270">
        <v>24534</v>
      </c>
      <c r="F573" s="1303">
        <v>2.2970000000000002</v>
      </c>
      <c r="G573" s="1270">
        <v>24534</v>
      </c>
      <c r="H573" s="1289"/>
      <c r="I573" s="1289"/>
      <c r="J573" s="1289"/>
      <c r="K573" s="1289"/>
      <c r="L573" s="1289"/>
      <c r="M573" s="1605"/>
      <c r="N573" s="1369" t="s">
        <v>441</v>
      </c>
      <c r="O573" s="1369" t="s">
        <v>1082</v>
      </c>
      <c r="P573" s="1213" t="s">
        <v>43</v>
      </c>
      <c r="Q573" s="1000">
        <f>1.097-0.027</f>
        <v>1.07</v>
      </c>
      <c r="R573" s="934" t="s">
        <v>2</v>
      </c>
      <c r="S573" s="2271">
        <f>16557.62803-S575-S576-S577-S578</f>
        <v>13252.352419999999</v>
      </c>
      <c r="T573" s="2213"/>
      <c r="U573" s="302"/>
      <c r="V573" s="34"/>
      <c r="W573" s="162"/>
      <c r="X573" s="967"/>
      <c r="Y573" s="339"/>
      <c r="Z573" s="1595"/>
      <c r="AA573" s="1595"/>
      <c r="AB573" s="1595"/>
      <c r="AC573" s="1595"/>
      <c r="AD573" s="1595"/>
      <c r="AE573" s="1595"/>
      <c r="AF573" s="1595"/>
      <c r="AG573" s="1595"/>
      <c r="AH573" s="1595"/>
      <c r="AI573" s="1595"/>
      <c r="AJ573" s="1595"/>
      <c r="AK573" s="1595"/>
      <c r="AL573" s="1595"/>
      <c r="AM573" s="1595"/>
      <c r="AN573" s="1595"/>
      <c r="AO573" s="1595"/>
      <c r="AP573" s="1595"/>
      <c r="AQ573" s="1595"/>
      <c r="AR573" s="1595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  <c r="BW573" s="119"/>
      <c r="BX573" s="119"/>
      <c r="BY573" s="119"/>
      <c r="BZ573" s="119"/>
      <c r="CA573" s="119"/>
      <c r="CB573" s="119"/>
      <c r="CC573" s="119"/>
      <c r="CD573" s="119"/>
      <c r="CE573" s="119"/>
      <c r="CF573" s="119"/>
      <c r="CG573" s="119"/>
      <c r="CH573" s="119"/>
    </row>
    <row r="574" spans="1:86" s="120" customFormat="1" ht="27.6" customHeight="1" x14ac:dyDescent="0.2">
      <c r="A574" s="1898"/>
      <c r="B574" s="1351"/>
      <c r="C574" s="1699"/>
      <c r="D574" s="1220"/>
      <c r="E574" s="1559"/>
      <c r="F574" s="1220"/>
      <c r="G574" s="1559"/>
      <c r="H574" s="1350"/>
      <c r="I574" s="1350"/>
      <c r="J574" s="1350"/>
      <c r="K574" s="1350"/>
      <c r="L574" s="1350"/>
      <c r="M574" s="1351"/>
      <c r="N574" s="1275"/>
      <c r="O574" s="1275"/>
      <c r="P574" s="1285"/>
      <c r="Q574" s="615">
        <v>9936</v>
      </c>
      <c r="R574" s="932" t="s">
        <v>3</v>
      </c>
      <c r="S574" s="2272"/>
      <c r="T574" s="2213"/>
      <c r="U574" s="302"/>
      <c r="V574" s="34"/>
      <c r="W574" s="212"/>
      <c r="X574" s="967"/>
      <c r="Y574" s="339"/>
      <c r="Z574" s="1593"/>
      <c r="AA574" s="1593"/>
      <c r="AB574" s="1593"/>
      <c r="AC574" s="1593"/>
      <c r="AD574" s="1593"/>
      <c r="AE574" s="1593"/>
      <c r="AF574" s="1593"/>
      <c r="AG574" s="1593"/>
      <c r="AH574" s="1593"/>
      <c r="AI574" s="1593"/>
      <c r="AJ574" s="1593"/>
      <c r="AK574" s="1593"/>
      <c r="AL574" s="1593"/>
      <c r="AM574" s="1593"/>
      <c r="AN574" s="1593"/>
      <c r="AO574" s="1593"/>
      <c r="AP574" s="1593"/>
      <c r="AQ574" s="1593"/>
      <c r="AR574" s="1593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  <c r="BW574" s="119"/>
      <c r="BX574" s="119"/>
      <c r="BY574" s="119"/>
      <c r="BZ574" s="119"/>
      <c r="CA574" s="119"/>
      <c r="CB574" s="119"/>
      <c r="CC574" s="119"/>
      <c r="CD574" s="119"/>
      <c r="CE574" s="119"/>
      <c r="CF574" s="119"/>
      <c r="CG574" s="119"/>
      <c r="CH574" s="119"/>
    </row>
    <row r="575" spans="1:86" s="120" customFormat="1" ht="28.35" customHeight="1" x14ac:dyDescent="0.2">
      <c r="A575" s="1898"/>
      <c r="B575" s="1351"/>
      <c r="C575" s="1699"/>
      <c r="D575" s="1220"/>
      <c r="E575" s="1559"/>
      <c r="F575" s="1220"/>
      <c r="G575" s="1559"/>
      <c r="H575" s="932"/>
      <c r="I575" s="932"/>
      <c r="J575" s="932"/>
      <c r="K575" s="932"/>
      <c r="L575" s="932"/>
      <c r="M575" s="933"/>
      <c r="N575" s="1275"/>
      <c r="O575" s="1275"/>
      <c r="P575" s="516" t="s">
        <v>6</v>
      </c>
      <c r="Q575" s="520">
        <v>1.0129999999999999</v>
      </c>
      <c r="R575" s="237" t="s">
        <v>2</v>
      </c>
      <c r="S575" s="521">
        <v>12.816319999999999</v>
      </c>
      <c r="T575" s="519"/>
      <c r="U575" s="922"/>
      <c r="V575" s="911"/>
      <c r="W575" s="626"/>
      <c r="X575" s="934"/>
      <c r="Y575" s="1110"/>
      <c r="Z575" s="1028"/>
      <c r="AA575" s="1028"/>
      <c r="AB575" s="1028"/>
      <c r="AC575" s="1028"/>
      <c r="AD575" s="1028"/>
      <c r="AE575" s="1028"/>
      <c r="AF575" s="1028"/>
      <c r="AG575" s="1028"/>
      <c r="AH575" s="1028"/>
      <c r="AI575" s="1028"/>
      <c r="AJ575" s="1028"/>
      <c r="AK575" s="1028"/>
      <c r="AL575" s="1028"/>
      <c r="AM575" s="1028"/>
      <c r="AN575" s="1028"/>
      <c r="AO575" s="1028"/>
      <c r="AP575" s="1028"/>
      <c r="AQ575" s="1028"/>
      <c r="AR575" s="1028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  <c r="BW575" s="119"/>
      <c r="BX575" s="119"/>
      <c r="BY575" s="119"/>
      <c r="BZ575" s="119"/>
      <c r="CA575" s="119"/>
      <c r="CB575" s="119"/>
      <c r="CC575" s="119"/>
      <c r="CD575" s="119"/>
      <c r="CE575" s="119"/>
      <c r="CF575" s="119"/>
      <c r="CG575" s="119"/>
      <c r="CH575" s="119"/>
    </row>
    <row r="576" spans="1:86" s="120" customFormat="1" ht="39.200000000000003" customHeight="1" x14ac:dyDescent="0.2">
      <c r="A576" s="1898"/>
      <c r="B576" s="1351"/>
      <c r="C576" s="1699"/>
      <c r="D576" s="1220"/>
      <c r="E576" s="1559"/>
      <c r="F576" s="1220"/>
      <c r="G576" s="1559"/>
      <c r="H576" s="932"/>
      <c r="I576" s="932"/>
      <c r="J576" s="932"/>
      <c r="K576" s="932"/>
      <c r="L576" s="932"/>
      <c r="M576" s="933"/>
      <c r="N576" s="1275"/>
      <c r="O576" s="1275"/>
      <c r="P576" s="515" t="s">
        <v>1041</v>
      </c>
      <c r="Q576" s="520">
        <v>27.33</v>
      </c>
      <c r="R576" s="237" t="s">
        <v>1044</v>
      </c>
      <c r="S576" s="549">
        <v>1649.2228</v>
      </c>
      <c r="T576" s="1115"/>
      <c r="U576" s="874"/>
      <c r="V576" s="911"/>
      <c r="W576" s="212"/>
      <c r="X576" s="967"/>
      <c r="Y576" s="1110"/>
      <c r="Z576" s="1028"/>
      <c r="AA576" s="1028"/>
      <c r="AB576" s="1028"/>
      <c r="AC576" s="1028"/>
      <c r="AD576" s="1028"/>
      <c r="AE576" s="1028"/>
      <c r="AF576" s="1028"/>
      <c r="AG576" s="1028"/>
      <c r="AH576" s="1028"/>
      <c r="AI576" s="1028"/>
      <c r="AJ576" s="1028"/>
      <c r="AK576" s="1028"/>
      <c r="AL576" s="1028"/>
      <c r="AM576" s="1028"/>
      <c r="AN576" s="1028"/>
      <c r="AO576" s="1028"/>
      <c r="AP576" s="1028"/>
      <c r="AQ576" s="1028"/>
      <c r="AR576" s="1028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  <c r="BW576" s="119"/>
      <c r="BX576" s="119"/>
      <c r="BY576" s="119"/>
      <c r="BZ576" s="119"/>
      <c r="CA576" s="119"/>
      <c r="CB576" s="119"/>
      <c r="CC576" s="119"/>
      <c r="CD576" s="119"/>
      <c r="CE576" s="119"/>
      <c r="CF576" s="119"/>
      <c r="CG576" s="119"/>
      <c r="CH576" s="119"/>
    </row>
    <row r="577" spans="1:86" s="120" customFormat="1" ht="28.35" customHeight="1" x14ac:dyDescent="0.2">
      <c r="A577" s="1898"/>
      <c r="B577" s="1351"/>
      <c r="C577" s="1699"/>
      <c r="D577" s="1220"/>
      <c r="E577" s="1559"/>
      <c r="F577" s="1220"/>
      <c r="G577" s="1559"/>
      <c r="H577" s="932"/>
      <c r="I577" s="932"/>
      <c r="J577" s="932"/>
      <c r="K577" s="932"/>
      <c r="L577" s="932"/>
      <c r="M577" s="933"/>
      <c r="N577" s="1275"/>
      <c r="O577" s="1275"/>
      <c r="P577" s="34" t="s">
        <v>11</v>
      </c>
      <c r="Q577" s="883">
        <v>1409</v>
      </c>
      <c r="R577" s="883" t="s">
        <v>4</v>
      </c>
      <c r="S577" s="1134">
        <v>1624.3407299999999</v>
      </c>
      <c r="T577" s="1115"/>
      <c r="U577" s="874"/>
      <c r="V577" s="911"/>
      <c r="W577" s="212"/>
      <c r="X577" s="967"/>
      <c r="Y577" s="1110"/>
      <c r="Z577" s="1028"/>
      <c r="AA577" s="1028"/>
      <c r="AB577" s="1028"/>
      <c r="AC577" s="1028"/>
      <c r="AD577" s="1028"/>
      <c r="AE577" s="1028"/>
      <c r="AF577" s="1028"/>
      <c r="AG577" s="1028"/>
      <c r="AH577" s="1028"/>
      <c r="AI577" s="1028"/>
      <c r="AJ577" s="1028"/>
      <c r="AK577" s="1028"/>
      <c r="AL577" s="1028"/>
      <c r="AM577" s="1028"/>
      <c r="AN577" s="1028"/>
      <c r="AO577" s="1028"/>
      <c r="AP577" s="1028"/>
      <c r="AQ577" s="1028"/>
      <c r="AR577" s="1028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  <c r="BW577" s="119"/>
      <c r="BX577" s="119"/>
      <c r="BY577" s="119"/>
      <c r="BZ577" s="119"/>
      <c r="CA577" s="119"/>
      <c r="CB577" s="119"/>
      <c r="CC577" s="119"/>
      <c r="CD577" s="119"/>
      <c r="CE577" s="119"/>
      <c r="CF577" s="119"/>
      <c r="CG577" s="119"/>
      <c r="CH577" s="119"/>
    </row>
    <row r="578" spans="1:86" s="120" customFormat="1" ht="39.200000000000003" customHeight="1" thickBot="1" x14ac:dyDescent="0.25">
      <c r="A578" s="1899"/>
      <c r="B578" s="1407"/>
      <c r="C578" s="1781"/>
      <c r="D578" s="1236"/>
      <c r="E578" s="1588"/>
      <c r="F578" s="1236"/>
      <c r="G578" s="1588"/>
      <c r="H578" s="1107"/>
      <c r="I578" s="1107"/>
      <c r="J578" s="1107"/>
      <c r="K578" s="1107"/>
      <c r="L578" s="1107"/>
      <c r="M578" s="1067"/>
      <c r="N578" s="1218"/>
      <c r="O578" s="1218"/>
      <c r="P578" s="304" t="s">
        <v>1043</v>
      </c>
      <c r="Q578" s="299">
        <v>20</v>
      </c>
      <c r="R578" s="884" t="s">
        <v>1044</v>
      </c>
      <c r="S578" s="550">
        <v>18.895759999999999</v>
      </c>
      <c r="T578" s="1115"/>
      <c r="U578" s="874"/>
      <c r="V578" s="911"/>
      <c r="W578" s="212"/>
      <c r="X578" s="967"/>
      <c r="Y578" s="1110"/>
      <c r="Z578" s="1028"/>
      <c r="AA578" s="1028"/>
      <c r="AB578" s="1028"/>
      <c r="AC578" s="1028"/>
      <c r="AD578" s="1028"/>
      <c r="AE578" s="1028"/>
      <c r="AF578" s="1028"/>
      <c r="AG578" s="1028"/>
      <c r="AH578" s="1028"/>
      <c r="AI578" s="1028"/>
      <c r="AJ578" s="1028"/>
      <c r="AK578" s="1028"/>
      <c r="AL578" s="1028"/>
      <c r="AM578" s="1028"/>
      <c r="AN578" s="1028"/>
      <c r="AO578" s="1028"/>
      <c r="AP578" s="1028"/>
      <c r="AQ578" s="1028"/>
      <c r="AR578" s="1028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  <c r="BY578" s="119"/>
      <c r="BZ578" s="119"/>
      <c r="CA578" s="119"/>
      <c r="CB578" s="119"/>
      <c r="CC578" s="119"/>
      <c r="CD578" s="119"/>
      <c r="CE578" s="119"/>
      <c r="CF578" s="119"/>
      <c r="CG578" s="119"/>
      <c r="CH578" s="119"/>
    </row>
    <row r="579" spans="1:86" s="301" customFormat="1" ht="31.15" customHeight="1" x14ac:dyDescent="0.25">
      <c r="A579" s="1897">
        <v>19</v>
      </c>
      <c r="B579" s="1605" t="s">
        <v>397</v>
      </c>
      <c r="C579" s="1780" t="s">
        <v>448</v>
      </c>
      <c r="D579" s="1303">
        <v>1.395</v>
      </c>
      <c r="E579" s="1270">
        <v>12402</v>
      </c>
      <c r="F579" s="1303">
        <v>1.395</v>
      </c>
      <c r="G579" s="1270">
        <v>12402</v>
      </c>
      <c r="H579" s="305"/>
      <c r="I579" s="305"/>
      <c r="J579" s="305"/>
      <c r="K579" s="305"/>
      <c r="L579" s="305"/>
      <c r="M579" s="305"/>
      <c r="N579" s="1777" t="s">
        <v>1098</v>
      </c>
      <c r="O579" s="1777" t="s">
        <v>1100</v>
      </c>
      <c r="P579" s="1238" t="s">
        <v>43</v>
      </c>
      <c r="Q579" s="349">
        <v>1.1100000000000001</v>
      </c>
      <c r="R579" s="966" t="s">
        <v>2</v>
      </c>
      <c r="S579" s="2208">
        <f>19792.93598-S581-S582-S583</f>
        <v>19258.388719999995</v>
      </c>
      <c r="T579" s="302"/>
      <c r="U579" s="302"/>
      <c r="V579" s="34"/>
      <c r="W579" s="162"/>
      <c r="X579" s="967"/>
      <c r="Y579" s="339"/>
      <c r="Z579" s="1350"/>
      <c r="AA579" s="1350"/>
      <c r="AB579" s="1350"/>
      <c r="AC579" s="1350"/>
      <c r="AD579" s="1350"/>
      <c r="AE579" s="1350"/>
      <c r="AF579" s="1350"/>
      <c r="AG579" s="1350"/>
      <c r="AH579" s="1350"/>
      <c r="AI579" s="1350"/>
      <c r="AJ579" s="1350"/>
      <c r="AK579" s="1350"/>
      <c r="AL579" s="1350"/>
      <c r="AM579" s="1350"/>
      <c r="AN579" s="1350"/>
      <c r="AO579" s="1350"/>
      <c r="AP579" s="1350"/>
      <c r="AQ579" s="1350"/>
      <c r="AR579" s="1285" t="s">
        <v>1342</v>
      </c>
      <c r="AS579" s="312"/>
      <c r="AT579" s="312"/>
      <c r="AU579" s="312"/>
      <c r="AV579" s="312"/>
      <c r="AW579" s="312"/>
      <c r="AX579" s="312"/>
      <c r="AY579" s="312"/>
      <c r="AZ579" s="312"/>
      <c r="BA579" s="312"/>
      <c r="BB579" s="312"/>
      <c r="BC579" s="312"/>
      <c r="BD579" s="312"/>
      <c r="BE579" s="312"/>
      <c r="BF579" s="312"/>
      <c r="BG579" s="312"/>
      <c r="BH579" s="312"/>
      <c r="BI579" s="312"/>
      <c r="BJ579" s="312"/>
      <c r="BK579" s="312"/>
      <c r="BL579" s="312"/>
      <c r="BM579" s="312"/>
      <c r="BN579" s="312"/>
      <c r="BO579" s="312"/>
      <c r="BP579" s="312"/>
      <c r="BQ579" s="312"/>
      <c r="BR579" s="312"/>
      <c r="BS579" s="312"/>
      <c r="BT579" s="312"/>
      <c r="BU579" s="312"/>
      <c r="BV579" s="312"/>
      <c r="BW579" s="312"/>
      <c r="BX579" s="312"/>
      <c r="BY579" s="312"/>
      <c r="BZ579" s="312"/>
      <c r="CA579" s="312"/>
      <c r="CB579" s="312"/>
      <c r="CC579" s="312"/>
      <c r="CD579" s="312"/>
      <c r="CE579" s="312"/>
      <c r="CF579" s="312"/>
      <c r="CG579" s="312"/>
      <c r="CH579" s="312"/>
    </row>
    <row r="580" spans="1:86" s="301" customFormat="1" ht="31.15" customHeight="1" x14ac:dyDescent="0.25">
      <c r="A580" s="1898"/>
      <c r="B580" s="1351"/>
      <c r="C580" s="1699"/>
      <c r="D580" s="1220"/>
      <c r="E580" s="1559"/>
      <c r="F580" s="1220"/>
      <c r="G580" s="1559"/>
      <c r="H580" s="288"/>
      <c r="I580" s="288"/>
      <c r="J580" s="288"/>
      <c r="K580" s="288"/>
      <c r="L580" s="288"/>
      <c r="M580" s="288"/>
      <c r="N580" s="1719"/>
      <c r="O580" s="1719"/>
      <c r="P580" s="1285"/>
      <c r="Q580" s="397">
        <v>14552</v>
      </c>
      <c r="R580" s="967" t="s">
        <v>3</v>
      </c>
      <c r="S580" s="2209"/>
      <c r="T580" s="302"/>
      <c r="U580" s="302"/>
      <c r="V580" s="34"/>
      <c r="W580" s="212"/>
      <c r="X580" s="967"/>
      <c r="Y580" s="339"/>
      <c r="Z580" s="1297"/>
      <c r="AA580" s="1297"/>
      <c r="AB580" s="1297"/>
      <c r="AC580" s="1297"/>
      <c r="AD580" s="1297"/>
      <c r="AE580" s="1297"/>
      <c r="AF580" s="1297"/>
      <c r="AG580" s="1297"/>
      <c r="AH580" s="1297"/>
      <c r="AI580" s="1297"/>
      <c r="AJ580" s="1297"/>
      <c r="AK580" s="1297"/>
      <c r="AL580" s="1297"/>
      <c r="AM580" s="1297"/>
      <c r="AN580" s="1297"/>
      <c r="AO580" s="1297"/>
      <c r="AP580" s="1297"/>
      <c r="AQ580" s="1297"/>
      <c r="AR580" s="1213"/>
      <c r="AS580" s="312"/>
      <c r="AT580" s="312"/>
      <c r="AU580" s="312"/>
      <c r="AV580" s="312"/>
      <c r="AW580" s="312"/>
      <c r="AX580" s="312"/>
      <c r="AY580" s="312"/>
      <c r="AZ580" s="312"/>
      <c r="BA580" s="312"/>
      <c r="BB580" s="312"/>
      <c r="BC580" s="312"/>
      <c r="BD580" s="312"/>
      <c r="BE580" s="312"/>
      <c r="BF580" s="312"/>
      <c r="BG580" s="312"/>
      <c r="BH580" s="312"/>
      <c r="BI580" s="312"/>
      <c r="BJ580" s="312"/>
      <c r="BK580" s="312"/>
      <c r="BL580" s="312"/>
      <c r="BM580" s="312"/>
      <c r="BN580" s="312"/>
      <c r="BO580" s="312"/>
      <c r="BP580" s="312"/>
      <c r="BQ580" s="312"/>
      <c r="BR580" s="312"/>
      <c r="BS580" s="312"/>
      <c r="BT580" s="312"/>
      <c r="BU580" s="312"/>
      <c r="BV580" s="312"/>
      <c r="BW580" s="312"/>
      <c r="BX580" s="312"/>
      <c r="BY580" s="312"/>
      <c r="BZ580" s="312"/>
      <c r="CA580" s="312"/>
      <c r="CB580" s="312"/>
      <c r="CC580" s="312"/>
      <c r="CD580" s="312"/>
      <c r="CE580" s="312"/>
      <c r="CF580" s="312"/>
      <c r="CG580" s="312"/>
      <c r="CH580" s="312"/>
    </row>
    <row r="581" spans="1:86" s="301" customFormat="1" ht="31.15" customHeight="1" x14ac:dyDescent="0.25">
      <c r="A581" s="1898"/>
      <c r="B581" s="1351"/>
      <c r="C581" s="1699"/>
      <c r="D581" s="1220"/>
      <c r="E581" s="1559"/>
      <c r="F581" s="1220"/>
      <c r="G581" s="1559"/>
      <c r="H581" s="288"/>
      <c r="I581" s="288"/>
      <c r="J581" s="288"/>
      <c r="K581" s="288"/>
      <c r="L581" s="288"/>
      <c r="M581" s="288"/>
      <c r="N581" s="1719"/>
      <c r="O581" s="1719"/>
      <c r="P581" s="516" t="s">
        <v>6</v>
      </c>
      <c r="Q581" s="520">
        <v>0.96799999999999997</v>
      </c>
      <c r="R581" s="237" t="s">
        <v>2</v>
      </c>
      <c r="S581" s="535">
        <v>10.470599999999999</v>
      </c>
      <c r="T581" s="302"/>
      <c r="U581" s="302"/>
      <c r="V581" s="302"/>
      <c r="W581" s="302"/>
      <c r="X581" s="302"/>
      <c r="Y581" s="302"/>
      <c r="Z581" s="934"/>
      <c r="AA581" s="934"/>
      <c r="AB581" s="934"/>
      <c r="AC581" s="934"/>
      <c r="AD581" s="934"/>
      <c r="AE581" s="934"/>
      <c r="AF581" s="934"/>
      <c r="AG581" s="934"/>
      <c r="AH581" s="934"/>
      <c r="AI581" s="934"/>
      <c r="AJ581" s="934"/>
      <c r="AK581" s="934"/>
      <c r="AL581" s="934"/>
      <c r="AM581" s="934"/>
      <c r="AN581" s="934"/>
      <c r="AO581" s="934"/>
      <c r="AP581" s="934"/>
      <c r="AQ581" s="934"/>
      <c r="AR581" s="880"/>
      <c r="AS581" s="312"/>
      <c r="AT581" s="312"/>
      <c r="AU581" s="312"/>
      <c r="AV581" s="312"/>
      <c r="AW581" s="312"/>
      <c r="AX581" s="312"/>
      <c r="AY581" s="312"/>
      <c r="AZ581" s="312"/>
      <c r="BA581" s="312"/>
      <c r="BB581" s="312"/>
      <c r="BC581" s="312"/>
      <c r="BD581" s="312"/>
      <c r="BE581" s="312"/>
      <c r="BF581" s="312"/>
      <c r="BG581" s="312"/>
      <c r="BH581" s="312"/>
      <c r="BI581" s="312"/>
      <c r="BJ581" s="312"/>
      <c r="BK581" s="312"/>
      <c r="BL581" s="312"/>
      <c r="BM581" s="312"/>
      <c r="BN581" s="312"/>
      <c r="BO581" s="312"/>
      <c r="BP581" s="312"/>
      <c r="BQ581" s="312"/>
      <c r="BR581" s="312"/>
      <c r="BS581" s="312"/>
      <c r="BT581" s="312"/>
      <c r="BU581" s="312"/>
      <c r="BV581" s="312"/>
      <c r="BW581" s="312"/>
      <c r="BX581" s="312"/>
      <c r="BY581" s="312"/>
      <c r="BZ581" s="312"/>
      <c r="CA581" s="312"/>
      <c r="CB581" s="312"/>
      <c r="CC581" s="312"/>
      <c r="CD581" s="312"/>
      <c r="CE581" s="312"/>
      <c r="CF581" s="312"/>
      <c r="CG581" s="312"/>
      <c r="CH581" s="312"/>
    </row>
    <row r="582" spans="1:86" s="301" customFormat="1" ht="40.5" customHeight="1" x14ac:dyDescent="0.25">
      <c r="A582" s="1898"/>
      <c r="B582" s="1351"/>
      <c r="C582" s="1699"/>
      <c r="D582" s="1220"/>
      <c r="E582" s="1559"/>
      <c r="F582" s="1220"/>
      <c r="G582" s="1559"/>
      <c r="H582" s="288"/>
      <c r="I582" s="288"/>
      <c r="J582" s="288"/>
      <c r="K582" s="288"/>
      <c r="L582" s="288"/>
      <c r="M582" s="288"/>
      <c r="N582" s="1719"/>
      <c r="O582" s="1719"/>
      <c r="P582" s="515" t="s">
        <v>1041</v>
      </c>
      <c r="Q582" s="520">
        <v>176</v>
      </c>
      <c r="R582" s="237" t="s">
        <v>1044</v>
      </c>
      <c r="S582" s="535">
        <v>126.19781</v>
      </c>
      <c r="T582" s="302"/>
      <c r="U582" s="302"/>
      <c r="V582" s="302"/>
      <c r="W582" s="302"/>
      <c r="X582" s="302"/>
      <c r="Y582" s="302"/>
      <c r="Z582" s="934"/>
      <c r="AA582" s="934"/>
      <c r="AB582" s="934"/>
      <c r="AC582" s="934"/>
      <c r="AD582" s="934"/>
      <c r="AE582" s="934"/>
      <c r="AF582" s="934"/>
      <c r="AG582" s="934"/>
      <c r="AH582" s="934"/>
      <c r="AI582" s="934"/>
      <c r="AJ582" s="934"/>
      <c r="AK582" s="934"/>
      <c r="AL582" s="934"/>
      <c r="AM582" s="934"/>
      <c r="AN582" s="934"/>
      <c r="AO582" s="934"/>
      <c r="AP582" s="934"/>
      <c r="AQ582" s="934"/>
      <c r="AR582" s="880"/>
      <c r="AS582" s="312"/>
      <c r="AT582" s="312"/>
      <c r="AU582" s="312"/>
      <c r="AV582" s="312"/>
      <c r="AW582" s="312"/>
      <c r="AX582" s="312"/>
      <c r="AY582" s="312"/>
      <c r="AZ582" s="312"/>
      <c r="BA582" s="312"/>
      <c r="BB582" s="312"/>
      <c r="BC582" s="312"/>
      <c r="BD582" s="312"/>
      <c r="BE582" s="312"/>
      <c r="BF582" s="312"/>
      <c r="BG582" s="312"/>
      <c r="BH582" s="312"/>
      <c r="BI582" s="312"/>
      <c r="BJ582" s="312"/>
      <c r="BK582" s="312"/>
      <c r="BL582" s="312"/>
      <c r="BM582" s="312"/>
      <c r="BN582" s="312"/>
      <c r="BO582" s="312"/>
      <c r="BP582" s="312"/>
      <c r="BQ582" s="312"/>
      <c r="BR582" s="312"/>
      <c r="BS582" s="312"/>
      <c r="BT582" s="312"/>
      <c r="BU582" s="312"/>
      <c r="BV582" s="312"/>
      <c r="BW582" s="312"/>
      <c r="BX582" s="312"/>
      <c r="BY582" s="312"/>
      <c r="BZ582" s="312"/>
      <c r="CA582" s="312"/>
      <c r="CB582" s="312"/>
      <c r="CC582" s="312"/>
      <c r="CD582" s="312"/>
      <c r="CE582" s="312"/>
      <c r="CF582" s="312"/>
      <c r="CG582" s="312"/>
      <c r="CH582" s="312"/>
    </row>
    <row r="583" spans="1:86" s="301" customFormat="1" ht="113.1" customHeight="1" thickBot="1" x14ac:dyDescent="0.3">
      <c r="A583" s="1899"/>
      <c r="B583" s="1407"/>
      <c r="C583" s="1781"/>
      <c r="D583" s="1236"/>
      <c r="E583" s="1588"/>
      <c r="F583" s="1236"/>
      <c r="G583" s="1588"/>
      <c r="H583" s="306"/>
      <c r="I583" s="306"/>
      <c r="J583" s="306"/>
      <c r="K583" s="306"/>
      <c r="L583" s="306"/>
      <c r="M583" s="306"/>
      <c r="N583" s="1773"/>
      <c r="O583" s="1773"/>
      <c r="P583" s="304" t="s">
        <v>1398</v>
      </c>
      <c r="Q583" s="884">
        <v>20.7</v>
      </c>
      <c r="R583" s="884" t="s">
        <v>4</v>
      </c>
      <c r="S583" s="683">
        <v>397.87885</v>
      </c>
      <c r="T583" s="302"/>
      <c r="U583" s="302"/>
      <c r="V583" s="302"/>
      <c r="W583" s="302"/>
      <c r="X583" s="302"/>
      <c r="Y583" s="302"/>
      <c r="Z583" s="934"/>
      <c r="AA583" s="934"/>
      <c r="AB583" s="934"/>
      <c r="AC583" s="934"/>
      <c r="AD583" s="934"/>
      <c r="AE583" s="934"/>
      <c r="AF583" s="934"/>
      <c r="AG583" s="934"/>
      <c r="AH583" s="934"/>
      <c r="AI583" s="934"/>
      <c r="AJ583" s="934"/>
      <c r="AK583" s="934"/>
      <c r="AL583" s="934"/>
      <c r="AM583" s="934"/>
      <c r="AN583" s="934"/>
      <c r="AO583" s="934"/>
      <c r="AP583" s="934"/>
      <c r="AQ583" s="934"/>
      <c r="AR583" s="880"/>
      <c r="AS583" s="312"/>
      <c r="AT583" s="312"/>
      <c r="AU583" s="312"/>
      <c r="AV583" s="312"/>
      <c r="AW583" s="312"/>
      <c r="AX583" s="312"/>
      <c r="AY583" s="312"/>
      <c r="AZ583" s="312"/>
      <c r="BA583" s="312"/>
      <c r="BB583" s="312"/>
      <c r="BC583" s="312"/>
      <c r="BD583" s="312"/>
      <c r="BE583" s="312"/>
      <c r="BF583" s="312"/>
      <c r="BG583" s="312"/>
      <c r="BH583" s="312"/>
      <c r="BI583" s="312"/>
      <c r="BJ583" s="312"/>
      <c r="BK583" s="312"/>
      <c r="BL583" s="312"/>
      <c r="BM583" s="312"/>
      <c r="BN583" s="312"/>
      <c r="BO583" s="312"/>
      <c r="BP583" s="312"/>
      <c r="BQ583" s="312"/>
      <c r="BR583" s="312"/>
      <c r="BS583" s="312"/>
      <c r="BT583" s="312"/>
      <c r="BU583" s="312"/>
      <c r="BV583" s="312"/>
      <c r="BW583" s="312"/>
      <c r="BX583" s="312"/>
      <c r="BY583" s="312"/>
      <c r="BZ583" s="312"/>
      <c r="CA583" s="312"/>
      <c r="CB583" s="312"/>
      <c r="CC583" s="312"/>
      <c r="CD583" s="312"/>
      <c r="CE583" s="312"/>
      <c r="CF583" s="312"/>
      <c r="CG583" s="312"/>
      <c r="CH583" s="312"/>
    </row>
    <row r="584" spans="1:86" s="312" customFormat="1" ht="32.85" hidden="1" customHeight="1" x14ac:dyDescent="0.25">
      <c r="A584" s="1601">
        <v>19</v>
      </c>
      <c r="B584" s="1298" t="s">
        <v>302</v>
      </c>
      <c r="C584" s="1699" t="s">
        <v>78</v>
      </c>
      <c r="D584" s="1220">
        <v>0.40100000000000002</v>
      </c>
      <c r="E584" s="1559">
        <v>1680</v>
      </c>
      <c r="F584" s="1543">
        <v>0.40100000000000002</v>
      </c>
      <c r="G584" s="1559">
        <v>1680</v>
      </c>
      <c r="H584" s="341"/>
      <c r="I584" s="341"/>
      <c r="J584" s="1149"/>
      <c r="K584" s="1012"/>
      <c r="L584" s="1081"/>
      <c r="M584" s="297"/>
      <c r="N584" s="341"/>
      <c r="O584" s="341"/>
      <c r="P584" s="1149"/>
      <c r="Q584" s="1012"/>
      <c r="R584" s="1081"/>
      <c r="S584" s="309"/>
      <c r="T584" s="1275" t="s">
        <v>1098</v>
      </c>
      <c r="U584" s="1275" t="s">
        <v>1328</v>
      </c>
      <c r="V584" s="1285" t="s">
        <v>43</v>
      </c>
      <c r="W584" s="1068"/>
      <c r="X584" s="928" t="s">
        <v>2</v>
      </c>
      <c r="Y584" s="1959"/>
      <c r="Z584" s="878"/>
      <c r="AA584" s="878"/>
      <c r="AB584" s="878"/>
      <c r="AC584" s="878"/>
      <c r="AD584" s="878"/>
      <c r="AE584" s="878"/>
      <c r="AF584" s="878"/>
      <c r="AG584" s="878"/>
      <c r="AH584" s="878"/>
      <c r="AI584" s="878"/>
      <c r="AJ584" s="878"/>
      <c r="AK584" s="878"/>
      <c r="AL584" s="878"/>
      <c r="AM584" s="878"/>
      <c r="AN584" s="878"/>
      <c r="AO584" s="878"/>
      <c r="AP584" s="878"/>
      <c r="AQ584" s="878"/>
      <c r="AR584" s="1285" t="s">
        <v>1327</v>
      </c>
    </row>
    <row r="585" spans="1:86" s="312" customFormat="1" ht="32.85" hidden="1" customHeight="1" thickBot="1" x14ac:dyDescent="0.3">
      <c r="A585" s="1602"/>
      <c r="B585" s="1778"/>
      <c r="C585" s="1273"/>
      <c r="D585" s="1213"/>
      <c r="E585" s="1271"/>
      <c r="F585" s="1473"/>
      <c r="G585" s="1271"/>
      <c r="H585" s="302"/>
      <c r="I585" s="302"/>
      <c r="J585" s="34"/>
      <c r="K585" s="1173"/>
      <c r="L585" s="878"/>
      <c r="M585" s="288"/>
      <c r="N585" s="302"/>
      <c r="O585" s="302"/>
      <c r="P585" s="34"/>
      <c r="Q585" s="1173"/>
      <c r="R585" s="878"/>
      <c r="S585" s="409"/>
      <c r="T585" s="1235"/>
      <c r="U585" s="1235"/>
      <c r="V585" s="2097"/>
      <c r="W585" s="1173"/>
      <c r="X585" s="911" t="s">
        <v>3</v>
      </c>
      <c r="Y585" s="1960"/>
      <c r="Z585" s="878"/>
      <c r="AA585" s="878"/>
      <c r="AB585" s="878"/>
      <c r="AC585" s="878"/>
      <c r="AD585" s="878"/>
      <c r="AE585" s="878"/>
      <c r="AF585" s="878"/>
      <c r="AG585" s="878"/>
      <c r="AH585" s="878"/>
      <c r="AI585" s="878"/>
      <c r="AJ585" s="878"/>
      <c r="AK585" s="878"/>
      <c r="AL585" s="878"/>
      <c r="AM585" s="878"/>
      <c r="AN585" s="878"/>
      <c r="AO585" s="878"/>
      <c r="AP585" s="878"/>
      <c r="AQ585" s="878"/>
      <c r="AR585" s="1213"/>
    </row>
    <row r="586" spans="1:86" s="312" customFormat="1" ht="31.15" hidden="1" customHeight="1" x14ac:dyDescent="0.25">
      <c r="A586" s="1879">
        <v>20</v>
      </c>
      <c r="B586" s="1829" t="s">
        <v>303</v>
      </c>
      <c r="C586" s="1343" t="s">
        <v>79</v>
      </c>
      <c r="D586" s="1472">
        <v>0.41</v>
      </c>
      <c r="E586" s="1558">
        <v>1680</v>
      </c>
      <c r="F586" s="1472">
        <v>0.41</v>
      </c>
      <c r="G586" s="1558">
        <v>1680</v>
      </c>
      <c r="H586" s="302"/>
      <c r="I586" s="302"/>
      <c r="J586" s="34"/>
      <c r="K586" s="1068"/>
      <c r="L586" s="928"/>
      <c r="M586" s="288"/>
      <c r="N586" s="302"/>
      <c r="O586" s="302"/>
      <c r="P586" s="34"/>
      <c r="Q586" s="1068"/>
      <c r="R586" s="928"/>
      <c r="S586" s="409"/>
      <c r="T586" s="1332" t="s">
        <v>1098</v>
      </c>
      <c r="U586" s="1332" t="s">
        <v>1329</v>
      </c>
      <c r="V586" s="1961" t="s">
        <v>43</v>
      </c>
      <c r="W586" s="1068"/>
      <c r="X586" s="928" t="s">
        <v>2</v>
      </c>
      <c r="Y586" s="1959"/>
      <c r="Z586" s="878"/>
      <c r="AA586" s="878"/>
      <c r="AB586" s="878"/>
      <c r="AC586" s="878"/>
      <c r="AD586" s="878"/>
      <c r="AE586" s="878"/>
      <c r="AF586" s="878"/>
      <c r="AG586" s="878"/>
      <c r="AH586" s="878"/>
      <c r="AI586" s="878"/>
      <c r="AJ586" s="878"/>
      <c r="AK586" s="878"/>
      <c r="AL586" s="878"/>
      <c r="AM586" s="878"/>
      <c r="AN586" s="878"/>
      <c r="AO586" s="878"/>
      <c r="AP586" s="878"/>
      <c r="AQ586" s="878"/>
      <c r="AR586" s="1285" t="s">
        <v>1327</v>
      </c>
    </row>
    <row r="587" spans="1:86" s="312" customFormat="1" ht="37.35" hidden="1" customHeight="1" thickBot="1" x14ac:dyDescent="0.3">
      <c r="A587" s="1602"/>
      <c r="B587" s="1778"/>
      <c r="C587" s="1273"/>
      <c r="D587" s="1473"/>
      <c r="E587" s="1271"/>
      <c r="F587" s="1473"/>
      <c r="G587" s="1271"/>
      <c r="H587" s="302"/>
      <c r="I587" s="302"/>
      <c r="J587" s="34"/>
      <c r="K587" s="1173"/>
      <c r="L587" s="878"/>
      <c r="M587" s="288"/>
      <c r="N587" s="302"/>
      <c r="O587" s="302"/>
      <c r="P587" s="34"/>
      <c r="Q587" s="1173"/>
      <c r="R587" s="878"/>
      <c r="S587" s="409"/>
      <c r="T587" s="1235"/>
      <c r="U587" s="1235"/>
      <c r="V587" s="2166"/>
      <c r="W587" s="1173"/>
      <c r="X587" s="911" t="s">
        <v>3</v>
      </c>
      <c r="Y587" s="1960"/>
      <c r="Z587" s="878"/>
      <c r="AA587" s="878"/>
      <c r="AB587" s="878"/>
      <c r="AC587" s="878"/>
      <c r="AD587" s="878"/>
      <c r="AE587" s="878"/>
      <c r="AF587" s="878"/>
      <c r="AG587" s="878"/>
      <c r="AH587" s="878"/>
      <c r="AI587" s="878"/>
      <c r="AJ587" s="878"/>
      <c r="AK587" s="878"/>
      <c r="AL587" s="878"/>
      <c r="AM587" s="878"/>
      <c r="AN587" s="878"/>
      <c r="AO587" s="878"/>
      <c r="AP587" s="878"/>
      <c r="AQ587" s="878"/>
      <c r="AR587" s="1213"/>
    </row>
    <row r="588" spans="1:86" s="312" customFormat="1" ht="48.2" hidden="1" customHeight="1" x14ac:dyDescent="0.25">
      <c r="A588" s="1879">
        <v>21</v>
      </c>
      <c r="B588" s="1708">
        <v>3404375</v>
      </c>
      <c r="C588" s="1343" t="s">
        <v>470</v>
      </c>
      <c r="D588" s="1285">
        <v>1.4970000000000001</v>
      </c>
      <c r="E588" s="1558">
        <v>16177.4</v>
      </c>
      <c r="F588" s="1472">
        <v>1.4970000000000001</v>
      </c>
      <c r="G588" s="1558">
        <v>16177.4</v>
      </c>
      <c r="H588" s="302"/>
      <c r="I588" s="302"/>
      <c r="J588" s="34"/>
      <c r="K588" s="1068"/>
      <c r="L588" s="928"/>
      <c r="M588" s="288"/>
      <c r="N588" s="302"/>
      <c r="O588" s="302"/>
      <c r="P588" s="34"/>
      <c r="Q588" s="1068"/>
      <c r="R588" s="928"/>
      <c r="S588" s="409"/>
      <c r="T588" s="1332" t="s">
        <v>1331</v>
      </c>
      <c r="U588" s="1332" t="s">
        <v>1332</v>
      </c>
      <c r="V588" s="1774" t="s">
        <v>43</v>
      </c>
      <c r="W588" s="1068"/>
      <c r="X588" s="928" t="s">
        <v>2</v>
      </c>
      <c r="Y588" s="1959"/>
      <c r="Z588" s="878"/>
      <c r="AA588" s="878"/>
      <c r="AB588" s="878"/>
      <c r="AC588" s="878"/>
      <c r="AD588" s="878"/>
      <c r="AE588" s="878"/>
      <c r="AF588" s="878"/>
      <c r="AG588" s="878"/>
      <c r="AH588" s="878"/>
      <c r="AI588" s="878"/>
      <c r="AJ588" s="878"/>
      <c r="AK588" s="878"/>
      <c r="AL588" s="878"/>
      <c r="AM588" s="878"/>
      <c r="AN588" s="878"/>
      <c r="AO588" s="878"/>
      <c r="AP588" s="878"/>
      <c r="AQ588" s="878"/>
      <c r="AR588" s="1285" t="s">
        <v>1330</v>
      </c>
    </row>
    <row r="589" spans="1:86" s="312" customFormat="1" ht="28.9" hidden="1" customHeight="1" thickBot="1" x14ac:dyDescent="0.3">
      <c r="A589" s="1602"/>
      <c r="B589" s="1710"/>
      <c r="C589" s="1273"/>
      <c r="D589" s="1213"/>
      <c r="E589" s="1271"/>
      <c r="F589" s="1473"/>
      <c r="G589" s="1271"/>
      <c r="H589" s="302"/>
      <c r="I589" s="302"/>
      <c r="J589" s="34"/>
      <c r="K589" s="1173"/>
      <c r="L589" s="878"/>
      <c r="M589" s="288"/>
      <c r="N589" s="302"/>
      <c r="O589" s="302"/>
      <c r="P589" s="34"/>
      <c r="Q589" s="1173"/>
      <c r="R589" s="878"/>
      <c r="S589" s="409"/>
      <c r="T589" s="1235"/>
      <c r="U589" s="1235"/>
      <c r="V589" s="2097"/>
      <c r="W589" s="1173"/>
      <c r="X589" s="911" t="s">
        <v>3</v>
      </c>
      <c r="Y589" s="1960"/>
      <c r="Z589" s="878"/>
      <c r="AA589" s="878"/>
      <c r="AB589" s="878"/>
      <c r="AC589" s="878"/>
      <c r="AD589" s="878"/>
      <c r="AE589" s="878"/>
      <c r="AF589" s="878"/>
      <c r="AG589" s="878"/>
      <c r="AH589" s="878"/>
      <c r="AI589" s="878"/>
      <c r="AJ589" s="878"/>
      <c r="AK589" s="878"/>
      <c r="AL589" s="878"/>
      <c r="AM589" s="878"/>
      <c r="AN589" s="878"/>
      <c r="AO589" s="878"/>
      <c r="AP589" s="878"/>
      <c r="AQ589" s="878"/>
      <c r="AR589" s="1213"/>
    </row>
    <row r="590" spans="1:86" s="312" customFormat="1" ht="34.15" hidden="1" customHeight="1" x14ac:dyDescent="0.25">
      <c r="A590" s="1879">
        <v>22</v>
      </c>
      <c r="B590" s="1829" t="s">
        <v>304</v>
      </c>
      <c r="C590" s="1343" t="s">
        <v>471</v>
      </c>
      <c r="D590" s="1285">
        <v>0.47149999999999997</v>
      </c>
      <c r="E590" s="1558">
        <v>1500</v>
      </c>
      <c r="F590" s="1831">
        <v>0.47149999999999997</v>
      </c>
      <c r="G590" s="1558">
        <v>1500</v>
      </c>
      <c r="H590" s="302"/>
      <c r="I590" s="302"/>
      <c r="J590" s="34"/>
      <c r="K590" s="1068"/>
      <c r="L590" s="928"/>
      <c r="M590" s="288"/>
      <c r="N590" s="302"/>
      <c r="O590" s="302"/>
      <c r="P590" s="34"/>
      <c r="Q590" s="1068"/>
      <c r="R590" s="928"/>
      <c r="S590" s="409"/>
      <c r="T590" s="1332" t="s">
        <v>1346</v>
      </c>
      <c r="U590" s="1332" t="s">
        <v>1098</v>
      </c>
      <c r="V590" s="1774" t="s">
        <v>43</v>
      </c>
      <c r="W590" s="1068"/>
      <c r="X590" s="928" t="s">
        <v>2</v>
      </c>
      <c r="Y590" s="1959"/>
      <c r="Z590" s="878"/>
      <c r="AA590" s="878"/>
      <c r="AB590" s="878"/>
      <c r="AC590" s="878"/>
      <c r="AD590" s="878"/>
      <c r="AE590" s="878"/>
      <c r="AF590" s="878"/>
      <c r="AG590" s="878"/>
      <c r="AH590" s="878"/>
      <c r="AI590" s="878"/>
      <c r="AJ590" s="878"/>
      <c r="AK590" s="878"/>
      <c r="AL590" s="878"/>
      <c r="AM590" s="878"/>
      <c r="AN590" s="878"/>
      <c r="AO590" s="878"/>
      <c r="AP590" s="878"/>
      <c r="AQ590" s="878"/>
      <c r="AR590" s="1285" t="s">
        <v>1345</v>
      </c>
    </row>
    <row r="591" spans="1:86" s="312" customFormat="1" ht="36.6" hidden="1" customHeight="1" thickBot="1" x14ac:dyDescent="0.3">
      <c r="A591" s="1602"/>
      <c r="B591" s="1778"/>
      <c r="C591" s="1273"/>
      <c r="D591" s="1213"/>
      <c r="E591" s="1271"/>
      <c r="F591" s="1832"/>
      <c r="G591" s="1271"/>
      <c r="H591" s="302"/>
      <c r="I591" s="302"/>
      <c r="J591" s="34"/>
      <c r="K591" s="1173"/>
      <c r="L591" s="878"/>
      <c r="M591" s="288"/>
      <c r="N591" s="302"/>
      <c r="O591" s="302"/>
      <c r="P591" s="34"/>
      <c r="Q591" s="1173"/>
      <c r="R591" s="878"/>
      <c r="S591" s="409"/>
      <c r="T591" s="1235"/>
      <c r="U591" s="1235"/>
      <c r="V591" s="1213"/>
      <c r="W591" s="1173"/>
      <c r="X591" s="911" t="s">
        <v>3</v>
      </c>
      <c r="Y591" s="1960"/>
      <c r="Z591" s="878"/>
      <c r="AA591" s="878"/>
      <c r="AB591" s="878"/>
      <c r="AC591" s="878"/>
      <c r="AD591" s="878"/>
      <c r="AE591" s="878"/>
      <c r="AF591" s="878"/>
      <c r="AG591" s="878"/>
      <c r="AH591" s="878"/>
      <c r="AI591" s="878"/>
      <c r="AJ591" s="878"/>
      <c r="AK591" s="878"/>
      <c r="AL591" s="878"/>
      <c r="AM591" s="878"/>
      <c r="AN591" s="878"/>
      <c r="AO591" s="878"/>
      <c r="AP591" s="878"/>
      <c r="AQ591" s="878"/>
      <c r="AR591" s="1213"/>
    </row>
    <row r="592" spans="1:86" s="301" customFormat="1" ht="39.200000000000003" hidden="1" customHeight="1" x14ac:dyDescent="0.25">
      <c r="A592" s="1879">
        <v>23</v>
      </c>
      <c r="B592" s="1350" t="s">
        <v>398</v>
      </c>
      <c r="C592" s="1343" t="s">
        <v>449</v>
      </c>
      <c r="D592" s="1285">
        <v>0.80500000000000005</v>
      </c>
      <c r="E592" s="1558">
        <v>4950</v>
      </c>
      <c r="F592" s="1285">
        <v>0.80500000000000005</v>
      </c>
      <c r="G592" s="1558">
        <v>4950</v>
      </c>
      <c r="H592" s="1350"/>
      <c r="I592" s="1350"/>
      <c r="J592" s="1350"/>
      <c r="K592" s="1350"/>
      <c r="L592" s="1350"/>
      <c r="M592" s="288"/>
      <c r="N592" s="302"/>
      <c r="O592" s="302"/>
      <c r="P592" s="34"/>
      <c r="Q592" s="162"/>
      <c r="R592" s="967"/>
      <c r="S592" s="339"/>
      <c r="T592" s="1332" t="s">
        <v>1334</v>
      </c>
      <c r="U592" s="1332" t="s">
        <v>1335</v>
      </c>
      <c r="V592" s="1774" t="s">
        <v>43</v>
      </c>
      <c r="W592" s="162"/>
      <c r="X592" s="967" t="s">
        <v>2</v>
      </c>
      <c r="Y592" s="2095"/>
      <c r="Z592" s="1350"/>
      <c r="AA592" s="1350"/>
      <c r="AB592" s="1350"/>
      <c r="AC592" s="1350"/>
      <c r="AD592" s="1350"/>
      <c r="AE592" s="1350"/>
      <c r="AF592" s="1350"/>
      <c r="AG592" s="1350"/>
      <c r="AH592" s="1350"/>
      <c r="AI592" s="1350"/>
      <c r="AJ592" s="1350"/>
      <c r="AK592" s="1350"/>
      <c r="AL592" s="1350"/>
      <c r="AM592" s="1350"/>
      <c r="AN592" s="1350"/>
      <c r="AO592" s="1350"/>
      <c r="AP592" s="1350"/>
      <c r="AQ592" s="1350"/>
      <c r="AR592" s="1285" t="s">
        <v>1333</v>
      </c>
      <c r="AS592" s="312"/>
      <c r="AT592" s="312"/>
      <c r="AU592" s="312"/>
      <c r="AV592" s="312"/>
      <c r="AW592" s="312"/>
      <c r="AX592" s="312"/>
      <c r="AY592" s="312"/>
      <c r="AZ592" s="312"/>
      <c r="BA592" s="312"/>
      <c r="BB592" s="312"/>
      <c r="BC592" s="312"/>
      <c r="BD592" s="312"/>
      <c r="BE592" s="312"/>
      <c r="BF592" s="312"/>
      <c r="BG592" s="312"/>
      <c r="BH592" s="312"/>
      <c r="BI592" s="312"/>
      <c r="BJ592" s="312"/>
      <c r="BK592" s="312"/>
      <c r="BL592" s="312"/>
      <c r="BM592" s="312"/>
      <c r="BN592" s="312"/>
      <c r="BO592" s="312"/>
      <c r="BP592" s="312"/>
      <c r="BQ592" s="312"/>
      <c r="BR592" s="312"/>
      <c r="BS592" s="312"/>
      <c r="BT592" s="312"/>
      <c r="BU592" s="312"/>
      <c r="BV592" s="312"/>
      <c r="BW592" s="312"/>
      <c r="BX592" s="312"/>
      <c r="BY592" s="312"/>
      <c r="BZ592" s="312"/>
      <c r="CA592" s="312"/>
      <c r="CB592" s="312"/>
      <c r="CC592" s="312"/>
      <c r="CD592" s="312"/>
      <c r="CE592" s="312"/>
      <c r="CF592" s="312"/>
      <c r="CG592" s="312"/>
      <c r="CH592" s="312"/>
    </row>
    <row r="593" spans="1:86" s="301" customFormat="1" ht="39.200000000000003" hidden="1" customHeight="1" thickBot="1" x14ac:dyDescent="0.3">
      <c r="A593" s="1602"/>
      <c r="B593" s="1297"/>
      <c r="C593" s="1273"/>
      <c r="D593" s="1213"/>
      <c r="E593" s="1271"/>
      <c r="F593" s="1213"/>
      <c r="G593" s="1271"/>
      <c r="H593" s="1297"/>
      <c r="I593" s="1297"/>
      <c r="J593" s="1297"/>
      <c r="K593" s="1297"/>
      <c r="L593" s="1297"/>
      <c r="M593" s="288"/>
      <c r="N593" s="302"/>
      <c r="O593" s="302"/>
      <c r="P593" s="34"/>
      <c r="Q593" s="212"/>
      <c r="R593" s="967"/>
      <c r="S593" s="339"/>
      <c r="T593" s="1235"/>
      <c r="U593" s="1235"/>
      <c r="V593" s="1213"/>
      <c r="W593" s="212"/>
      <c r="X593" s="967" t="s">
        <v>3</v>
      </c>
      <c r="Y593" s="2096"/>
      <c r="Z593" s="1297"/>
      <c r="AA593" s="1297"/>
      <c r="AB593" s="1297"/>
      <c r="AC593" s="1297"/>
      <c r="AD593" s="1297"/>
      <c r="AE593" s="1297"/>
      <c r="AF593" s="1297"/>
      <c r="AG593" s="1297"/>
      <c r="AH593" s="1297"/>
      <c r="AI593" s="1297"/>
      <c r="AJ593" s="1297"/>
      <c r="AK593" s="1297"/>
      <c r="AL593" s="1297"/>
      <c r="AM593" s="1297"/>
      <c r="AN593" s="1297"/>
      <c r="AO593" s="1297"/>
      <c r="AP593" s="1297"/>
      <c r="AQ593" s="1297"/>
      <c r="AR593" s="1213"/>
      <c r="AS593" s="312"/>
      <c r="AT593" s="312"/>
      <c r="AU593" s="312"/>
      <c r="AV593" s="312"/>
      <c r="AW593" s="312"/>
      <c r="AX593" s="312"/>
      <c r="AY593" s="312"/>
      <c r="AZ593" s="312"/>
      <c r="BA593" s="312"/>
      <c r="BB593" s="312"/>
      <c r="BC593" s="312"/>
      <c r="BD593" s="312"/>
      <c r="BE593" s="312"/>
      <c r="BF593" s="312"/>
      <c r="BG593" s="312"/>
      <c r="BH593" s="312"/>
      <c r="BI593" s="312"/>
      <c r="BJ593" s="312"/>
      <c r="BK593" s="312"/>
      <c r="BL593" s="312"/>
      <c r="BM593" s="312"/>
      <c r="BN593" s="312"/>
      <c r="BO593" s="312"/>
      <c r="BP593" s="312"/>
      <c r="BQ593" s="312"/>
      <c r="BR593" s="312"/>
      <c r="BS593" s="312"/>
      <c r="BT593" s="312"/>
      <c r="BU593" s="312"/>
      <c r="BV593" s="312"/>
      <c r="BW593" s="312"/>
      <c r="BX593" s="312"/>
      <c r="BY593" s="312"/>
      <c r="BZ593" s="312"/>
      <c r="CA593" s="312"/>
      <c r="CB593" s="312"/>
      <c r="CC593" s="312"/>
      <c r="CD593" s="312"/>
      <c r="CE593" s="312"/>
      <c r="CF593" s="312"/>
      <c r="CG593" s="312"/>
      <c r="CH593" s="312"/>
    </row>
    <row r="594" spans="1:86" s="301" customFormat="1" ht="36" hidden="1" customHeight="1" x14ac:dyDescent="0.25">
      <c r="A594" s="1561">
        <f t="shared" ref="A594" si="12">A592+1</f>
        <v>24</v>
      </c>
      <c r="B594" s="1350" t="s">
        <v>399</v>
      </c>
      <c r="C594" s="1343" t="s">
        <v>450</v>
      </c>
      <c r="D594" s="1285">
        <v>0.36699999999999999</v>
      </c>
      <c r="E594" s="1833">
        <v>1412</v>
      </c>
      <c r="F594" s="1285">
        <v>0.36699999999999999</v>
      </c>
      <c r="G594" s="1833">
        <v>1412</v>
      </c>
      <c r="H594" s="1350"/>
      <c r="I594" s="1350"/>
      <c r="J594" s="1350"/>
      <c r="K594" s="1350"/>
      <c r="L594" s="1350"/>
      <c r="M594" s="288"/>
      <c r="N594" s="302"/>
      <c r="O594" s="302"/>
      <c r="P594" s="288"/>
      <c r="Q594" s="162"/>
      <c r="R594" s="967"/>
      <c r="S594" s="339"/>
      <c r="T594" s="1332" t="s">
        <v>1106</v>
      </c>
      <c r="U594" s="1332" t="s">
        <v>1337</v>
      </c>
      <c r="V594" s="1774" t="s">
        <v>43</v>
      </c>
      <c r="W594" s="162"/>
      <c r="X594" s="967" t="s">
        <v>2</v>
      </c>
      <c r="Y594" s="1742"/>
      <c r="Z594" s="1350"/>
      <c r="AA594" s="1350"/>
      <c r="AB594" s="1350"/>
      <c r="AC594" s="1350"/>
      <c r="AD594" s="1350"/>
      <c r="AE594" s="1350"/>
      <c r="AF594" s="1350"/>
      <c r="AG594" s="1350"/>
      <c r="AH594" s="1350"/>
      <c r="AI594" s="1350"/>
      <c r="AJ594" s="1350"/>
      <c r="AK594" s="1350"/>
      <c r="AL594" s="1350"/>
      <c r="AM594" s="1350"/>
      <c r="AN594" s="1350"/>
      <c r="AO594" s="1350"/>
      <c r="AP594" s="1350"/>
      <c r="AQ594" s="1350"/>
      <c r="AR594" s="1285" t="s">
        <v>1336</v>
      </c>
      <c r="AS594" s="312"/>
      <c r="AT594" s="312"/>
      <c r="AU594" s="312"/>
      <c r="AV594" s="312"/>
      <c r="AW594" s="312"/>
      <c r="AX594" s="312"/>
      <c r="AY594" s="312"/>
      <c r="AZ594" s="312"/>
      <c r="BA594" s="312"/>
      <c r="BB594" s="312"/>
      <c r="BC594" s="312"/>
      <c r="BD594" s="312"/>
      <c r="BE594" s="312"/>
      <c r="BF594" s="312"/>
      <c r="BG594" s="312"/>
      <c r="BH594" s="312"/>
      <c r="BI594" s="312"/>
      <c r="BJ594" s="312"/>
      <c r="BK594" s="312"/>
      <c r="BL594" s="312"/>
      <c r="BM594" s="312"/>
      <c r="BN594" s="312"/>
      <c r="BO594" s="312"/>
      <c r="BP594" s="312"/>
      <c r="BQ594" s="312"/>
      <c r="BR594" s="312"/>
      <c r="BS594" s="312"/>
      <c r="BT594" s="312"/>
      <c r="BU594" s="312"/>
      <c r="BV594" s="312"/>
      <c r="BW594" s="312"/>
      <c r="BX594" s="312"/>
      <c r="BY594" s="312"/>
      <c r="BZ594" s="312"/>
      <c r="CA594" s="312"/>
      <c r="CB594" s="312"/>
      <c r="CC594" s="312"/>
      <c r="CD594" s="312"/>
      <c r="CE594" s="312"/>
      <c r="CF594" s="312"/>
      <c r="CG594" s="312"/>
      <c r="CH594" s="312"/>
    </row>
    <row r="595" spans="1:86" s="301" customFormat="1" ht="36" hidden="1" customHeight="1" x14ac:dyDescent="0.25">
      <c r="A595" s="1297"/>
      <c r="B595" s="1297"/>
      <c r="C595" s="1273"/>
      <c r="D595" s="1213"/>
      <c r="E595" s="1834"/>
      <c r="F595" s="1213"/>
      <c r="G595" s="1834"/>
      <c r="H595" s="1297"/>
      <c r="I595" s="1297"/>
      <c r="J595" s="1297"/>
      <c r="K595" s="1297"/>
      <c r="L595" s="1297"/>
      <c r="M595" s="288"/>
      <c r="N595" s="302"/>
      <c r="O595" s="302"/>
      <c r="P595" s="288"/>
      <c r="Q595" s="212"/>
      <c r="R595" s="967"/>
      <c r="S595" s="339"/>
      <c r="T595" s="1235"/>
      <c r="U595" s="1235"/>
      <c r="V595" s="1213"/>
      <c r="W595" s="212"/>
      <c r="X595" s="967" t="s">
        <v>3</v>
      </c>
      <c r="Y595" s="2084"/>
      <c r="Z595" s="1297"/>
      <c r="AA595" s="1297"/>
      <c r="AB595" s="1297"/>
      <c r="AC595" s="1297"/>
      <c r="AD595" s="1297"/>
      <c r="AE595" s="1297"/>
      <c r="AF595" s="1297"/>
      <c r="AG595" s="1297"/>
      <c r="AH595" s="1297"/>
      <c r="AI595" s="1297"/>
      <c r="AJ595" s="1297"/>
      <c r="AK595" s="1297"/>
      <c r="AL595" s="1297"/>
      <c r="AM595" s="1297"/>
      <c r="AN595" s="1297"/>
      <c r="AO595" s="1297"/>
      <c r="AP595" s="1297"/>
      <c r="AQ595" s="1297"/>
      <c r="AR595" s="1213"/>
      <c r="AS595" s="312"/>
      <c r="AT595" s="312"/>
      <c r="AU595" s="312"/>
      <c r="AV595" s="312"/>
      <c r="AW595" s="312"/>
      <c r="AX595" s="312"/>
      <c r="AY595" s="312"/>
      <c r="AZ595" s="312"/>
      <c r="BA595" s="312"/>
      <c r="BB595" s="312"/>
      <c r="BC595" s="312"/>
      <c r="BD595" s="312"/>
      <c r="BE595" s="312"/>
      <c r="BF595" s="312"/>
      <c r="BG595" s="312"/>
      <c r="BH595" s="312"/>
      <c r="BI595" s="312"/>
      <c r="BJ595" s="312"/>
      <c r="BK595" s="312"/>
      <c r="BL595" s="312"/>
      <c r="BM595" s="312"/>
      <c r="BN595" s="312"/>
      <c r="BO595" s="312"/>
      <c r="BP595" s="312"/>
      <c r="BQ595" s="312"/>
      <c r="BR595" s="312"/>
      <c r="BS595" s="312"/>
      <c r="BT595" s="312"/>
      <c r="BU595" s="312"/>
      <c r="BV595" s="312"/>
      <c r="BW595" s="312"/>
      <c r="BX595" s="312"/>
      <c r="BY595" s="312"/>
      <c r="BZ595" s="312"/>
      <c r="CA595" s="312"/>
      <c r="CB595" s="312"/>
      <c r="CC595" s="312"/>
      <c r="CD595" s="312"/>
      <c r="CE595" s="312"/>
      <c r="CF595" s="312"/>
      <c r="CG595" s="312"/>
      <c r="CH595" s="312"/>
    </row>
    <row r="596" spans="1:86" s="301" customFormat="1" ht="21.75" hidden="1" customHeight="1" x14ac:dyDescent="0.25">
      <c r="A596" s="1561">
        <f t="shared" ref="A596" si="13">A594+1</f>
        <v>25</v>
      </c>
      <c r="B596" s="1350" t="s">
        <v>400</v>
      </c>
      <c r="C596" s="1343" t="s">
        <v>451</v>
      </c>
      <c r="D596" s="1285">
        <v>1.88</v>
      </c>
      <c r="E596" s="1558">
        <v>18573</v>
      </c>
      <c r="F596" s="1285">
        <v>1.88</v>
      </c>
      <c r="G596" s="1558">
        <v>18573</v>
      </c>
      <c r="H596" s="1350"/>
      <c r="I596" s="1350"/>
      <c r="J596" s="1350"/>
      <c r="K596" s="1350"/>
      <c r="L596" s="1350"/>
      <c r="M596" s="288"/>
      <c r="N596" s="302"/>
      <c r="O596" s="302"/>
      <c r="P596" s="288"/>
      <c r="Q596" s="162"/>
      <c r="R596" s="967"/>
      <c r="S596" s="339"/>
      <c r="T596" s="1332" t="s">
        <v>1131</v>
      </c>
      <c r="U596" s="1332" t="s">
        <v>1209</v>
      </c>
      <c r="V596" s="1774" t="s">
        <v>43</v>
      </c>
      <c r="W596" s="162"/>
      <c r="X596" s="967" t="s">
        <v>2</v>
      </c>
      <c r="Y596" s="1742"/>
      <c r="Z596" s="1350"/>
      <c r="AA596" s="1350"/>
      <c r="AB596" s="1350"/>
      <c r="AC596" s="1350"/>
      <c r="AD596" s="1350"/>
      <c r="AE596" s="1350"/>
      <c r="AF596" s="1350"/>
      <c r="AG596" s="1350"/>
      <c r="AH596" s="1350"/>
      <c r="AI596" s="1350"/>
      <c r="AJ596" s="1350"/>
      <c r="AK596" s="1350"/>
      <c r="AL596" s="1350"/>
      <c r="AM596" s="1350"/>
      <c r="AN596" s="1350"/>
      <c r="AO596" s="1350"/>
      <c r="AP596" s="1350"/>
      <c r="AQ596" s="1350"/>
      <c r="AR596" s="1350"/>
      <c r="AS596" s="312"/>
      <c r="AT596" s="312"/>
      <c r="AU596" s="312"/>
      <c r="AV596" s="312"/>
      <c r="AW596" s="312"/>
      <c r="AX596" s="312"/>
      <c r="AY596" s="312"/>
      <c r="AZ596" s="312"/>
      <c r="BA596" s="312"/>
      <c r="BB596" s="312"/>
      <c r="BC596" s="312"/>
      <c r="BD596" s="312"/>
      <c r="BE596" s="312"/>
      <c r="BF596" s="312"/>
      <c r="BG596" s="312"/>
      <c r="BH596" s="312"/>
      <c r="BI596" s="312"/>
      <c r="BJ596" s="312"/>
      <c r="BK596" s="312"/>
      <c r="BL596" s="312"/>
      <c r="BM596" s="312"/>
      <c r="BN596" s="312"/>
      <c r="BO596" s="312"/>
      <c r="BP596" s="312"/>
      <c r="BQ596" s="312"/>
      <c r="BR596" s="312"/>
      <c r="BS596" s="312"/>
      <c r="BT596" s="312"/>
      <c r="BU596" s="312"/>
      <c r="BV596" s="312"/>
      <c r="BW596" s="312"/>
      <c r="BX596" s="312"/>
      <c r="BY596" s="312"/>
      <c r="BZ596" s="312"/>
      <c r="CA596" s="312"/>
      <c r="CB596" s="312"/>
      <c r="CC596" s="312"/>
      <c r="CD596" s="312"/>
      <c r="CE596" s="312"/>
      <c r="CF596" s="312"/>
      <c r="CG596" s="312"/>
      <c r="CH596" s="312"/>
    </row>
    <row r="597" spans="1:86" s="301" customFormat="1" ht="27" hidden="1" customHeight="1" thickBot="1" x14ac:dyDescent="0.3">
      <c r="A597" s="1297"/>
      <c r="B597" s="1297"/>
      <c r="C597" s="1273"/>
      <c r="D597" s="1213"/>
      <c r="E597" s="1271"/>
      <c r="F597" s="1213"/>
      <c r="G597" s="1271"/>
      <c r="H597" s="1297"/>
      <c r="I597" s="1297"/>
      <c r="J597" s="1297"/>
      <c r="K597" s="1297"/>
      <c r="L597" s="1297"/>
      <c r="M597" s="288"/>
      <c r="N597" s="302"/>
      <c r="O597" s="302"/>
      <c r="P597" s="288"/>
      <c r="Q597" s="212"/>
      <c r="R597" s="967"/>
      <c r="S597" s="339"/>
      <c r="T597" s="1275"/>
      <c r="U597" s="1275"/>
      <c r="V597" s="1220"/>
      <c r="W597" s="413"/>
      <c r="X597" s="932" t="s">
        <v>3</v>
      </c>
      <c r="Y597" s="2084"/>
      <c r="Z597" s="1297"/>
      <c r="AA597" s="1297"/>
      <c r="AB597" s="1297"/>
      <c r="AC597" s="1297"/>
      <c r="AD597" s="1297"/>
      <c r="AE597" s="1297"/>
      <c r="AF597" s="1297"/>
      <c r="AG597" s="1297"/>
      <c r="AH597" s="1297"/>
      <c r="AI597" s="1297"/>
      <c r="AJ597" s="1297"/>
      <c r="AK597" s="1297"/>
      <c r="AL597" s="1297"/>
      <c r="AM597" s="1297"/>
      <c r="AN597" s="1297"/>
      <c r="AO597" s="1297"/>
      <c r="AP597" s="1297"/>
      <c r="AQ597" s="1297"/>
      <c r="AR597" s="1297"/>
      <c r="AS597" s="312"/>
      <c r="AT597" s="312"/>
      <c r="AU597" s="312"/>
      <c r="AV597" s="312"/>
      <c r="AW597" s="312"/>
      <c r="AX597" s="312"/>
      <c r="AY597" s="312"/>
      <c r="AZ597" s="312"/>
      <c r="BA597" s="312"/>
      <c r="BB597" s="312"/>
      <c r="BC597" s="312"/>
      <c r="BD597" s="312"/>
      <c r="BE597" s="312"/>
      <c r="BF597" s="312"/>
      <c r="BG597" s="312"/>
      <c r="BH597" s="312"/>
      <c r="BI597" s="312"/>
      <c r="BJ597" s="312"/>
      <c r="BK597" s="312"/>
      <c r="BL597" s="312"/>
      <c r="BM597" s="312"/>
      <c r="BN597" s="312"/>
      <c r="BO597" s="312"/>
      <c r="BP597" s="312"/>
      <c r="BQ597" s="312"/>
      <c r="BR597" s="312"/>
      <c r="BS597" s="312"/>
      <c r="BT597" s="312"/>
      <c r="BU597" s="312"/>
      <c r="BV597" s="312"/>
      <c r="BW597" s="312"/>
      <c r="BX597" s="312"/>
      <c r="BY597" s="312"/>
      <c r="BZ597" s="312"/>
      <c r="CA597" s="312"/>
      <c r="CB597" s="312"/>
      <c r="CC597" s="312"/>
      <c r="CD597" s="312"/>
      <c r="CE597" s="312"/>
      <c r="CF597" s="312"/>
      <c r="CG597" s="312"/>
      <c r="CH597" s="312"/>
    </row>
    <row r="598" spans="1:86" s="301" customFormat="1" ht="22.15" customHeight="1" x14ac:dyDescent="0.25">
      <c r="A598" s="2347">
        <v>20</v>
      </c>
      <c r="B598" s="2346" t="s">
        <v>393</v>
      </c>
      <c r="C598" s="2337" t="s">
        <v>458</v>
      </c>
      <c r="D598" s="2255">
        <v>1.82</v>
      </c>
      <c r="E598" s="2251">
        <v>16563.400000000001</v>
      </c>
      <c r="F598" s="2255">
        <v>1.82</v>
      </c>
      <c r="G598" s="2251">
        <v>16563.400000000001</v>
      </c>
      <c r="H598" s="1350"/>
      <c r="I598" s="1350"/>
      <c r="J598" s="1350"/>
      <c r="K598" s="1350"/>
      <c r="L598" s="1350"/>
      <c r="M598" s="288"/>
      <c r="N598" s="302"/>
      <c r="O598" s="302"/>
      <c r="P598" s="288"/>
      <c r="Q598" s="162"/>
      <c r="R598" s="967"/>
      <c r="S598" s="339"/>
      <c r="T598" s="1354" t="s">
        <v>1343</v>
      </c>
      <c r="U598" s="1354" t="s">
        <v>1344</v>
      </c>
      <c r="V598" s="1233" t="s">
        <v>43</v>
      </c>
      <c r="W598" s="1068">
        <v>0.91</v>
      </c>
      <c r="X598" s="1068" t="s">
        <v>2</v>
      </c>
      <c r="Y598" s="1387">
        <f>16890.56451-Y600-Y601</f>
        <v>16247.21451</v>
      </c>
      <c r="Z598" s="302"/>
      <c r="AA598" s="302"/>
      <c r="AB598" s="34"/>
      <c r="AC598" s="1068"/>
      <c r="AD598" s="1068"/>
      <c r="AE598" s="339"/>
      <c r="AF598" s="1350"/>
      <c r="AG598" s="1350"/>
      <c r="AH598" s="1350"/>
      <c r="AI598" s="1350"/>
      <c r="AJ598" s="1350"/>
      <c r="AK598" s="1350"/>
      <c r="AL598" s="1350"/>
      <c r="AM598" s="1350"/>
      <c r="AN598" s="1350"/>
      <c r="AO598" s="1350"/>
      <c r="AP598" s="1350"/>
      <c r="AQ598" s="1350"/>
      <c r="AR598" s="1285" t="s">
        <v>1420</v>
      </c>
      <c r="AS598" s="312"/>
      <c r="AT598" s="312"/>
      <c r="AU598" s="312"/>
      <c r="AV598" s="312"/>
      <c r="AW598" s="312"/>
      <c r="AX598" s="312"/>
      <c r="AY598" s="312"/>
      <c r="AZ598" s="312"/>
      <c r="BA598" s="312"/>
      <c r="BB598" s="312"/>
      <c r="BC598" s="312"/>
      <c r="BD598" s="312"/>
      <c r="BE598" s="312"/>
      <c r="BF598" s="312"/>
      <c r="BG598" s="312"/>
      <c r="BH598" s="312"/>
      <c r="BI598" s="312"/>
      <c r="BJ598" s="312"/>
      <c r="BK598" s="312"/>
      <c r="BL598" s="312"/>
      <c r="BM598" s="312"/>
      <c r="BN598" s="312"/>
      <c r="BO598" s="312"/>
      <c r="BP598" s="312"/>
      <c r="BQ598" s="312"/>
      <c r="BR598" s="312"/>
      <c r="BS598" s="312"/>
      <c r="BT598" s="312"/>
      <c r="BU598" s="312"/>
      <c r="BV598" s="312"/>
      <c r="BW598" s="312"/>
      <c r="BX598" s="312"/>
      <c r="BY598" s="312"/>
      <c r="BZ598" s="312"/>
      <c r="CA598" s="312"/>
      <c r="CB598" s="312"/>
      <c r="CC598" s="312"/>
      <c r="CD598" s="312"/>
      <c r="CE598" s="312"/>
      <c r="CF598" s="312"/>
      <c r="CG598" s="312"/>
      <c r="CH598" s="312"/>
    </row>
    <row r="599" spans="1:86" s="301" customFormat="1" ht="31.5" customHeight="1" x14ac:dyDescent="0.25">
      <c r="A599" s="2348"/>
      <c r="B599" s="1771"/>
      <c r="C599" s="1877"/>
      <c r="D599" s="2256"/>
      <c r="E599" s="2252"/>
      <c r="F599" s="2256"/>
      <c r="G599" s="2252"/>
      <c r="H599" s="1297"/>
      <c r="I599" s="1297"/>
      <c r="J599" s="1297"/>
      <c r="K599" s="1297"/>
      <c r="L599" s="1297"/>
      <c r="M599" s="288"/>
      <c r="N599" s="302"/>
      <c r="O599" s="302"/>
      <c r="P599" s="288"/>
      <c r="Q599" s="212"/>
      <c r="R599" s="967"/>
      <c r="S599" s="339"/>
      <c r="T599" s="1369"/>
      <c r="U599" s="1369"/>
      <c r="V599" s="1233"/>
      <c r="W599" s="1173">
        <v>9850</v>
      </c>
      <c r="X599" s="1068" t="s">
        <v>3</v>
      </c>
      <c r="Y599" s="1388"/>
      <c r="Z599" s="302"/>
      <c r="AA599" s="302"/>
      <c r="AB599" s="34"/>
      <c r="AC599" s="1173"/>
      <c r="AD599" s="1068"/>
      <c r="AE599" s="339"/>
      <c r="AF599" s="1297"/>
      <c r="AG599" s="1297"/>
      <c r="AH599" s="1297"/>
      <c r="AI599" s="1297"/>
      <c r="AJ599" s="1297"/>
      <c r="AK599" s="1297"/>
      <c r="AL599" s="1297"/>
      <c r="AM599" s="1297"/>
      <c r="AN599" s="1297"/>
      <c r="AO599" s="1297"/>
      <c r="AP599" s="1297"/>
      <c r="AQ599" s="1297"/>
      <c r="AR599" s="1213"/>
      <c r="AS599" s="312"/>
      <c r="AT599" s="312"/>
      <c r="AU599" s="312"/>
      <c r="AV599" s="312"/>
      <c r="AW599" s="312"/>
      <c r="AX599" s="312"/>
      <c r="AY599" s="312"/>
      <c r="AZ599" s="312"/>
      <c r="BA599" s="312"/>
      <c r="BB599" s="312"/>
      <c r="BC599" s="312"/>
      <c r="BD599" s="312"/>
      <c r="BE599" s="312"/>
      <c r="BF599" s="312"/>
      <c r="BG599" s="312"/>
      <c r="BH599" s="312"/>
      <c r="BI599" s="312"/>
      <c r="BJ599" s="312"/>
      <c r="BK599" s="312"/>
      <c r="BL599" s="312"/>
      <c r="BM599" s="312"/>
      <c r="BN599" s="312"/>
      <c r="BO599" s="312"/>
      <c r="BP599" s="312"/>
      <c r="BQ599" s="312"/>
      <c r="BR599" s="312"/>
      <c r="BS599" s="312"/>
      <c r="BT599" s="312"/>
      <c r="BU599" s="312"/>
      <c r="BV599" s="312"/>
      <c r="BW599" s="312"/>
      <c r="BX599" s="312"/>
      <c r="BY599" s="312"/>
      <c r="BZ599" s="312"/>
      <c r="CA599" s="312"/>
      <c r="CB599" s="312"/>
      <c r="CC599" s="312"/>
      <c r="CD599" s="312"/>
      <c r="CE599" s="312"/>
      <c r="CF599" s="312"/>
      <c r="CG599" s="312"/>
      <c r="CH599" s="312"/>
    </row>
    <row r="600" spans="1:86" s="301" customFormat="1" ht="31.5" customHeight="1" x14ac:dyDescent="0.25">
      <c r="A600" s="2348"/>
      <c r="B600" s="1771"/>
      <c r="C600" s="1877"/>
      <c r="D600" s="2256"/>
      <c r="E600" s="2252"/>
      <c r="F600" s="2256"/>
      <c r="G600" s="2252"/>
      <c r="H600" s="1049"/>
      <c r="I600" s="1049"/>
      <c r="J600" s="1049"/>
      <c r="K600" s="1049"/>
      <c r="L600" s="1049"/>
      <c r="M600" s="288"/>
      <c r="N600" s="302"/>
      <c r="O600" s="302"/>
      <c r="P600" s="288"/>
      <c r="Q600" s="212"/>
      <c r="R600" s="967"/>
      <c r="S600" s="339"/>
      <c r="T600" s="1369"/>
      <c r="U600" s="1369"/>
      <c r="V600" s="878" t="s">
        <v>6</v>
      </c>
      <c r="W600" s="1007">
        <v>1.1839999999999999</v>
      </c>
      <c r="X600" s="1012" t="s">
        <v>2</v>
      </c>
      <c r="Y600" s="645">
        <v>635.625</v>
      </c>
      <c r="Z600" s="660"/>
      <c r="AA600" s="660"/>
      <c r="AB600" s="661"/>
      <c r="AC600" s="1013"/>
      <c r="AD600" s="1014"/>
      <c r="AE600" s="2446"/>
      <c r="AF600" s="1049"/>
      <c r="AG600" s="1049"/>
      <c r="AH600" s="1049"/>
      <c r="AI600" s="1049"/>
      <c r="AJ600" s="1049"/>
      <c r="AK600" s="1049"/>
      <c r="AL600" s="1049"/>
      <c r="AM600" s="1049"/>
      <c r="AN600" s="1049"/>
      <c r="AO600" s="1049"/>
      <c r="AP600" s="1049"/>
      <c r="AQ600" s="1049"/>
      <c r="AR600" s="909"/>
      <c r="AS600" s="312"/>
      <c r="AT600" s="312"/>
      <c r="AU600" s="312"/>
      <c r="AV600" s="312"/>
      <c r="AW600" s="312"/>
      <c r="AX600" s="312"/>
      <c r="AY600" s="312"/>
      <c r="AZ600" s="312"/>
      <c r="BA600" s="312"/>
      <c r="BB600" s="312"/>
      <c r="BC600" s="312"/>
      <c r="BD600" s="312"/>
      <c r="BE600" s="312"/>
      <c r="BF600" s="312"/>
      <c r="BG600" s="312"/>
      <c r="BH600" s="312"/>
      <c r="BI600" s="312"/>
      <c r="BJ600" s="312"/>
      <c r="BK600" s="312"/>
      <c r="BL600" s="312"/>
      <c r="BM600" s="312"/>
      <c r="BN600" s="312"/>
      <c r="BO600" s="312"/>
      <c r="BP600" s="312"/>
      <c r="BQ600" s="312"/>
      <c r="BR600" s="312"/>
      <c r="BS600" s="312"/>
      <c r="BT600" s="312"/>
      <c r="BU600" s="312"/>
      <c r="BV600" s="312"/>
      <c r="BW600" s="312"/>
      <c r="BX600" s="312"/>
      <c r="BY600" s="312"/>
      <c r="BZ600" s="312"/>
      <c r="CA600" s="312"/>
      <c r="CB600" s="312"/>
      <c r="CC600" s="312"/>
      <c r="CD600" s="312"/>
      <c r="CE600" s="312"/>
      <c r="CF600" s="312"/>
      <c r="CG600" s="312"/>
      <c r="CH600" s="312"/>
    </row>
    <row r="601" spans="1:86" s="301" customFormat="1" ht="42.75" customHeight="1" x14ac:dyDescent="0.25">
      <c r="A601" s="2348"/>
      <c r="B601" s="1771"/>
      <c r="C601" s="1877"/>
      <c r="D601" s="2256"/>
      <c r="E601" s="2252"/>
      <c r="F601" s="2256"/>
      <c r="G601" s="2252"/>
      <c r="H601" s="1049"/>
      <c r="I601" s="1049"/>
      <c r="J601" s="1049"/>
      <c r="K601" s="1049"/>
      <c r="L601" s="1049"/>
      <c r="M601" s="288"/>
      <c r="N601" s="302"/>
      <c r="O601" s="302"/>
      <c r="P601" s="288"/>
      <c r="Q601" s="212"/>
      <c r="R601" s="967"/>
      <c r="S601" s="339"/>
      <c r="T601" s="1369"/>
      <c r="U601" s="1369"/>
      <c r="V601" s="878" t="s">
        <v>35</v>
      </c>
      <c r="W601" s="1021">
        <v>2</v>
      </c>
      <c r="X601" s="1012" t="s">
        <v>8</v>
      </c>
      <c r="Y601" s="645">
        <v>7.7249999999999996</v>
      </c>
      <c r="Z601" s="660"/>
      <c r="AA601" s="660"/>
      <c r="AB601" s="661"/>
      <c r="AC601" s="1173"/>
      <c r="AD601" s="1068"/>
      <c r="AE601" s="339"/>
      <c r="AF601" s="1049"/>
      <c r="AG601" s="1049"/>
      <c r="AH601" s="1049"/>
      <c r="AI601" s="1049"/>
      <c r="AJ601" s="1049"/>
      <c r="AK601" s="1049"/>
      <c r="AL601" s="1049"/>
      <c r="AM601" s="1049"/>
      <c r="AN601" s="1049"/>
      <c r="AO601" s="1049"/>
      <c r="AP601" s="1049"/>
      <c r="AQ601" s="1049"/>
      <c r="AR601" s="909"/>
      <c r="AS601" s="312"/>
      <c r="AT601" s="312"/>
      <c r="AU601" s="312"/>
      <c r="AV601" s="312"/>
      <c r="AW601" s="312"/>
      <c r="AX601" s="312"/>
      <c r="AY601" s="312"/>
      <c r="AZ601" s="312"/>
      <c r="BA601" s="312"/>
      <c r="BB601" s="312"/>
      <c r="BC601" s="312"/>
      <c r="BD601" s="312"/>
      <c r="BE601" s="312"/>
      <c r="BF601" s="312"/>
      <c r="BG601" s="312"/>
      <c r="BH601" s="312"/>
      <c r="BI601" s="312"/>
      <c r="BJ601" s="312"/>
      <c r="BK601" s="312"/>
      <c r="BL601" s="312"/>
      <c r="BM601" s="312"/>
      <c r="BN601" s="312"/>
      <c r="BO601" s="312"/>
      <c r="BP601" s="312"/>
      <c r="BQ601" s="312"/>
      <c r="BR601" s="312"/>
      <c r="BS601" s="312"/>
      <c r="BT601" s="312"/>
      <c r="BU601" s="312"/>
      <c r="BV601" s="312"/>
      <c r="BW601" s="312"/>
      <c r="BX601" s="312"/>
      <c r="BY601" s="312"/>
      <c r="BZ601" s="312"/>
      <c r="CA601" s="312"/>
      <c r="CB601" s="312"/>
      <c r="CC601" s="312"/>
      <c r="CD601" s="312"/>
      <c r="CE601" s="312"/>
      <c r="CF601" s="312"/>
      <c r="CG601" s="312"/>
      <c r="CH601" s="312"/>
    </row>
    <row r="602" spans="1:86" s="301" customFormat="1" ht="81.75" customHeight="1" x14ac:dyDescent="0.25">
      <c r="A602" s="2349"/>
      <c r="B602" s="1593"/>
      <c r="C602" s="1390"/>
      <c r="D602" s="1375"/>
      <c r="E602" s="1271"/>
      <c r="F602" s="1375"/>
      <c r="G602" s="1271"/>
      <c r="H602" s="1050"/>
      <c r="I602" s="1050"/>
      <c r="J602" s="1050"/>
      <c r="K602" s="1050"/>
      <c r="L602" s="1050"/>
      <c r="M602" s="288"/>
      <c r="N602" s="302"/>
      <c r="O602" s="302"/>
      <c r="P602" s="288"/>
      <c r="Q602" s="212"/>
      <c r="R602" s="967"/>
      <c r="S602" s="339"/>
      <c r="T602" s="1235"/>
      <c r="U602" s="1235"/>
      <c r="V602" s="34" t="s">
        <v>1046</v>
      </c>
      <c r="W602" s="1021">
        <v>1</v>
      </c>
      <c r="X602" s="1012" t="s">
        <v>8</v>
      </c>
      <c r="Y602" s="522">
        <v>586.46803</v>
      </c>
      <c r="Z602" s="660"/>
      <c r="AA602" s="660"/>
      <c r="AB602" s="661"/>
      <c r="AC602" s="1013"/>
      <c r="AD602" s="801"/>
      <c r="AE602" s="2446"/>
      <c r="AF602" s="1050"/>
      <c r="AG602" s="1050"/>
      <c r="AH602" s="1050"/>
      <c r="AI602" s="1050"/>
      <c r="AJ602" s="1050"/>
      <c r="AK602" s="1050"/>
      <c r="AL602" s="1050"/>
      <c r="AM602" s="1050"/>
      <c r="AN602" s="1050"/>
      <c r="AO602" s="1050"/>
      <c r="AP602" s="1050"/>
      <c r="AQ602" s="1050"/>
      <c r="AR602" s="1036"/>
      <c r="AS602" s="312"/>
      <c r="AT602" s="312"/>
      <c r="AU602" s="312"/>
      <c r="AV602" s="312"/>
      <c r="AW602" s="312"/>
      <c r="AX602" s="312"/>
      <c r="AY602" s="312"/>
      <c r="AZ602" s="312"/>
      <c r="BA602" s="312"/>
      <c r="BB602" s="312"/>
      <c r="BC602" s="312"/>
      <c r="BD602" s="312"/>
      <c r="BE602" s="312"/>
      <c r="BF602" s="312"/>
      <c r="BG602" s="312"/>
      <c r="BH602" s="312"/>
      <c r="BI602" s="312"/>
      <c r="BJ602" s="312"/>
      <c r="BK602" s="312"/>
      <c r="BL602" s="312"/>
      <c r="BM602" s="312"/>
      <c r="BN602" s="312"/>
      <c r="BO602" s="312"/>
      <c r="BP602" s="312"/>
      <c r="BQ602" s="312"/>
      <c r="BR602" s="312"/>
      <c r="BS602" s="312"/>
      <c r="BT602" s="312"/>
      <c r="BU602" s="312"/>
      <c r="BV602" s="312"/>
      <c r="BW602" s="312"/>
      <c r="BX602" s="312"/>
      <c r="BY602" s="312"/>
      <c r="BZ602" s="312"/>
      <c r="CA602" s="312"/>
      <c r="CB602" s="312"/>
      <c r="CC602" s="312"/>
      <c r="CD602" s="312"/>
      <c r="CE602" s="312"/>
      <c r="CF602" s="312"/>
      <c r="CG602" s="312"/>
      <c r="CH602" s="312"/>
    </row>
    <row r="603" spans="1:86" s="301" customFormat="1" ht="35.65" hidden="1" customHeight="1" x14ac:dyDescent="0.25">
      <c r="A603" s="1561">
        <f t="shared" ref="A603" si="14">A598+1</f>
        <v>21</v>
      </c>
      <c r="B603" s="1350" t="s">
        <v>401</v>
      </c>
      <c r="C603" s="1343" t="s">
        <v>453</v>
      </c>
      <c r="D603" s="1285">
        <v>0.432</v>
      </c>
      <c r="E603" s="1833">
        <v>1880</v>
      </c>
      <c r="F603" s="1285">
        <v>0.432</v>
      </c>
      <c r="G603" s="1833">
        <v>1880</v>
      </c>
      <c r="H603" s="1350"/>
      <c r="I603" s="1350"/>
      <c r="J603" s="1350"/>
      <c r="K603" s="1350"/>
      <c r="L603" s="1350"/>
      <c r="M603" s="288"/>
      <c r="N603" s="302"/>
      <c r="O603" s="302"/>
      <c r="P603" s="288"/>
      <c r="Q603" s="162"/>
      <c r="R603" s="967"/>
      <c r="S603" s="339"/>
      <c r="T603" s="1332" t="s">
        <v>1130</v>
      </c>
      <c r="U603" s="1332" t="s">
        <v>1338</v>
      </c>
      <c r="V603" s="1220" t="s">
        <v>43</v>
      </c>
      <c r="W603" s="1000"/>
      <c r="X603" s="934" t="s">
        <v>2</v>
      </c>
      <c r="Y603" s="2217"/>
      <c r="Z603" s="1350"/>
      <c r="AA603" s="1350"/>
      <c r="AB603" s="1350"/>
      <c r="AC603" s="1350"/>
      <c r="AD603" s="1350"/>
      <c r="AE603" s="1350"/>
      <c r="AF603" s="1350"/>
      <c r="AG603" s="1350"/>
      <c r="AH603" s="1350"/>
      <c r="AI603" s="1350"/>
      <c r="AJ603" s="1350"/>
      <c r="AK603" s="1350"/>
      <c r="AL603" s="1350"/>
      <c r="AM603" s="1350"/>
      <c r="AN603" s="1350"/>
      <c r="AO603" s="1350"/>
      <c r="AP603" s="1350"/>
      <c r="AQ603" s="1350"/>
      <c r="AR603" s="1285" t="s">
        <v>1336</v>
      </c>
      <c r="AS603" s="312"/>
      <c r="AT603" s="312"/>
      <c r="AU603" s="312"/>
      <c r="AV603" s="312"/>
      <c r="AW603" s="312"/>
      <c r="AX603" s="312"/>
      <c r="AY603" s="312"/>
      <c r="AZ603" s="312"/>
      <c r="BA603" s="312"/>
      <c r="BB603" s="312"/>
      <c r="BC603" s="312"/>
      <c r="BD603" s="312"/>
      <c r="BE603" s="312"/>
      <c r="BF603" s="312"/>
      <c r="BG603" s="312"/>
      <c r="BH603" s="312"/>
      <c r="BI603" s="312"/>
      <c r="BJ603" s="312"/>
      <c r="BK603" s="312"/>
      <c r="BL603" s="312"/>
      <c r="BM603" s="312"/>
      <c r="BN603" s="312"/>
      <c r="BO603" s="312"/>
      <c r="BP603" s="312"/>
      <c r="BQ603" s="312"/>
      <c r="BR603" s="312"/>
      <c r="BS603" s="312"/>
      <c r="BT603" s="312"/>
      <c r="BU603" s="312"/>
      <c r="BV603" s="312"/>
      <c r="BW603" s="312"/>
      <c r="BX603" s="312"/>
      <c r="BY603" s="312"/>
      <c r="BZ603" s="312"/>
      <c r="CA603" s="312"/>
      <c r="CB603" s="312"/>
      <c r="CC603" s="312"/>
      <c r="CD603" s="312"/>
      <c r="CE603" s="312"/>
      <c r="CF603" s="312"/>
      <c r="CG603" s="312"/>
      <c r="CH603" s="312"/>
    </row>
    <row r="604" spans="1:86" s="301" customFormat="1" ht="35.65" hidden="1" customHeight="1" x14ac:dyDescent="0.25">
      <c r="A604" s="1297"/>
      <c r="B604" s="1297"/>
      <c r="C604" s="1273"/>
      <c r="D604" s="1213"/>
      <c r="E604" s="1834"/>
      <c r="F604" s="1213"/>
      <c r="G604" s="1834"/>
      <c r="H604" s="1297"/>
      <c r="I604" s="1297"/>
      <c r="J604" s="1297"/>
      <c r="K604" s="1297"/>
      <c r="L604" s="1297"/>
      <c r="M604" s="288"/>
      <c r="N604" s="302"/>
      <c r="O604" s="302"/>
      <c r="P604" s="288"/>
      <c r="Q604" s="212"/>
      <c r="R604" s="967"/>
      <c r="S604" s="339"/>
      <c r="T604" s="1275"/>
      <c r="U604" s="1275"/>
      <c r="V604" s="1213"/>
      <c r="W604" s="212"/>
      <c r="X604" s="967" t="s">
        <v>3</v>
      </c>
      <c r="Y604" s="2218"/>
      <c r="Z604" s="1297"/>
      <c r="AA604" s="1297"/>
      <c r="AB604" s="1297"/>
      <c r="AC604" s="1297"/>
      <c r="AD604" s="1297"/>
      <c r="AE604" s="1297"/>
      <c r="AF604" s="1297"/>
      <c r="AG604" s="1297"/>
      <c r="AH604" s="1297"/>
      <c r="AI604" s="1297"/>
      <c r="AJ604" s="1297"/>
      <c r="AK604" s="1297"/>
      <c r="AL604" s="1297"/>
      <c r="AM604" s="1297"/>
      <c r="AN604" s="1297"/>
      <c r="AO604" s="1297"/>
      <c r="AP604" s="1297"/>
      <c r="AQ604" s="1297"/>
      <c r="AR604" s="1213"/>
      <c r="AS604" s="312"/>
      <c r="AT604" s="312"/>
      <c r="AU604" s="312"/>
      <c r="AV604" s="312"/>
      <c r="AW604" s="312"/>
      <c r="AX604" s="312"/>
      <c r="AY604" s="312"/>
      <c r="AZ604" s="312"/>
      <c r="BA604" s="312"/>
      <c r="BB604" s="312"/>
      <c r="BC604" s="312"/>
      <c r="BD604" s="312"/>
      <c r="BE604" s="312"/>
      <c r="BF604" s="312"/>
      <c r="BG604" s="312"/>
      <c r="BH604" s="312"/>
      <c r="BI604" s="312"/>
      <c r="BJ604" s="312"/>
      <c r="BK604" s="312"/>
      <c r="BL604" s="312"/>
      <c r="BM604" s="312"/>
      <c r="BN604" s="312"/>
      <c r="BO604" s="312"/>
      <c r="BP604" s="312"/>
      <c r="BQ604" s="312"/>
      <c r="BR604" s="312"/>
      <c r="BS604" s="312"/>
      <c r="BT604" s="312"/>
      <c r="BU604" s="312"/>
      <c r="BV604" s="312"/>
      <c r="BW604" s="312"/>
      <c r="BX604" s="312"/>
      <c r="BY604" s="312"/>
      <c r="BZ604" s="312"/>
      <c r="CA604" s="312"/>
      <c r="CB604" s="312"/>
      <c r="CC604" s="312"/>
      <c r="CD604" s="312"/>
      <c r="CE604" s="312"/>
      <c r="CF604" s="312"/>
      <c r="CG604" s="312"/>
      <c r="CH604" s="312"/>
    </row>
    <row r="605" spans="1:86" s="301" customFormat="1" ht="57.2" hidden="1" customHeight="1" x14ac:dyDescent="0.25">
      <c r="A605" s="1561">
        <f t="shared" ref="A605" si="15">A603+1</f>
        <v>22</v>
      </c>
      <c r="B605" s="1350" t="s">
        <v>462</v>
      </c>
      <c r="C605" s="1343" t="s">
        <v>454</v>
      </c>
      <c r="D605" s="1285">
        <v>0.3</v>
      </c>
      <c r="E605" s="1558">
        <v>4803</v>
      </c>
      <c r="F605" s="1285">
        <v>0.3</v>
      </c>
      <c r="G605" s="1558">
        <v>4803</v>
      </c>
      <c r="H605" s="1332"/>
      <c r="I605" s="1332"/>
      <c r="J605" s="1350"/>
      <c r="K605" s="1350"/>
      <c r="L605" s="1350"/>
      <c r="M605" s="288"/>
      <c r="N605" s="302"/>
      <c r="O605" s="302"/>
      <c r="P605" s="288"/>
      <c r="Q605" s="162"/>
      <c r="R605" s="967"/>
      <c r="S605" s="339"/>
      <c r="T605" s="1332" t="s">
        <v>1130</v>
      </c>
      <c r="U605" s="1332" t="s">
        <v>1130</v>
      </c>
      <c r="V605" s="1774" t="s">
        <v>43</v>
      </c>
      <c r="W605" s="1000"/>
      <c r="X605" s="967" t="s">
        <v>2</v>
      </c>
      <c r="Y605" s="1742"/>
      <c r="Z605" s="1350"/>
      <c r="AA605" s="1350"/>
      <c r="AB605" s="1350"/>
      <c r="AC605" s="1350"/>
      <c r="AD605" s="1350"/>
      <c r="AE605" s="1350"/>
      <c r="AF605" s="1350"/>
      <c r="AG605" s="1350"/>
      <c r="AH605" s="1350"/>
      <c r="AI605" s="1350"/>
      <c r="AJ605" s="1350"/>
      <c r="AK605" s="1350"/>
      <c r="AL605" s="1350"/>
      <c r="AM605" s="1350"/>
      <c r="AN605" s="1350"/>
      <c r="AO605" s="1350"/>
      <c r="AP605" s="1350"/>
      <c r="AQ605" s="1350"/>
      <c r="AR605" s="1285" t="s">
        <v>1339</v>
      </c>
      <c r="AS605" s="312"/>
      <c r="AT605" s="312"/>
      <c r="AU605" s="312"/>
      <c r="AV605" s="312"/>
      <c r="AW605" s="312"/>
      <c r="AX605" s="312"/>
      <c r="AY605" s="312"/>
      <c r="AZ605" s="312"/>
      <c r="BA605" s="312"/>
      <c r="BB605" s="312"/>
      <c r="BC605" s="312"/>
      <c r="BD605" s="312"/>
      <c r="BE605" s="312"/>
      <c r="BF605" s="312"/>
      <c r="BG605" s="312"/>
      <c r="BH605" s="312"/>
      <c r="BI605" s="312"/>
      <c r="BJ605" s="312"/>
      <c r="BK605" s="312"/>
      <c r="BL605" s="312"/>
      <c r="BM605" s="312"/>
      <c r="BN605" s="312"/>
      <c r="BO605" s="312"/>
      <c r="BP605" s="312"/>
      <c r="BQ605" s="312"/>
      <c r="BR605" s="312"/>
      <c r="BS605" s="312"/>
      <c r="BT605" s="312"/>
      <c r="BU605" s="312"/>
      <c r="BV605" s="312"/>
      <c r="BW605" s="312"/>
      <c r="BX605" s="312"/>
      <c r="BY605" s="312"/>
      <c r="BZ605" s="312"/>
      <c r="CA605" s="312"/>
      <c r="CB605" s="312"/>
      <c r="CC605" s="312"/>
      <c r="CD605" s="312"/>
      <c r="CE605" s="312"/>
      <c r="CF605" s="312"/>
      <c r="CG605" s="312"/>
      <c r="CH605" s="312"/>
    </row>
    <row r="606" spans="1:86" s="301" customFormat="1" ht="55.35" hidden="1" customHeight="1" x14ac:dyDescent="0.25">
      <c r="A606" s="1297"/>
      <c r="B606" s="1297"/>
      <c r="C606" s="1273"/>
      <c r="D606" s="1213"/>
      <c r="E606" s="1271"/>
      <c r="F606" s="1213"/>
      <c r="G606" s="1271"/>
      <c r="H606" s="1235"/>
      <c r="I606" s="1235"/>
      <c r="J606" s="1297"/>
      <c r="K606" s="1297"/>
      <c r="L606" s="1297"/>
      <c r="M606" s="288"/>
      <c r="N606" s="302"/>
      <c r="O606" s="302"/>
      <c r="P606" s="288"/>
      <c r="Q606" s="212"/>
      <c r="R606" s="967"/>
      <c r="S606" s="339"/>
      <c r="T606" s="1235"/>
      <c r="U606" s="1235"/>
      <c r="V606" s="1213"/>
      <c r="W606" s="212"/>
      <c r="X606" s="967" t="s">
        <v>3</v>
      </c>
      <c r="Y606" s="2084"/>
      <c r="Z606" s="1297"/>
      <c r="AA606" s="1297"/>
      <c r="AB606" s="1297"/>
      <c r="AC606" s="1297"/>
      <c r="AD606" s="1297"/>
      <c r="AE606" s="1297"/>
      <c r="AF606" s="1297"/>
      <c r="AG606" s="1297"/>
      <c r="AH606" s="1297"/>
      <c r="AI606" s="1297"/>
      <c r="AJ606" s="1297"/>
      <c r="AK606" s="1297"/>
      <c r="AL606" s="1297"/>
      <c r="AM606" s="1297"/>
      <c r="AN606" s="1297"/>
      <c r="AO606" s="1297"/>
      <c r="AP606" s="1297"/>
      <c r="AQ606" s="1297"/>
      <c r="AR606" s="1213"/>
      <c r="AS606" s="312"/>
      <c r="AT606" s="312"/>
      <c r="AU606" s="312"/>
      <c r="AV606" s="312"/>
      <c r="AW606" s="312"/>
      <c r="AX606" s="312"/>
      <c r="AY606" s="312"/>
      <c r="AZ606" s="312"/>
      <c r="BA606" s="312"/>
      <c r="BB606" s="312"/>
      <c r="BC606" s="312"/>
      <c r="BD606" s="312"/>
      <c r="BE606" s="312"/>
      <c r="BF606" s="312"/>
      <c r="BG606" s="312"/>
      <c r="BH606" s="312"/>
      <c r="BI606" s="312"/>
      <c r="BJ606" s="312"/>
      <c r="BK606" s="312"/>
      <c r="BL606" s="312"/>
      <c r="BM606" s="312"/>
      <c r="BN606" s="312"/>
      <c r="BO606" s="312"/>
      <c r="BP606" s="312"/>
      <c r="BQ606" s="312"/>
      <c r="BR606" s="312"/>
      <c r="BS606" s="312"/>
      <c r="BT606" s="312"/>
      <c r="BU606" s="312"/>
      <c r="BV606" s="312"/>
      <c r="BW606" s="312"/>
      <c r="BX606" s="312"/>
      <c r="BY606" s="312"/>
      <c r="BZ606" s="312"/>
      <c r="CA606" s="312"/>
      <c r="CB606" s="312"/>
      <c r="CC606" s="312"/>
      <c r="CD606" s="312"/>
      <c r="CE606" s="312"/>
      <c r="CF606" s="312"/>
      <c r="CG606" s="312"/>
      <c r="CH606" s="312"/>
    </row>
    <row r="607" spans="1:86" s="301" customFormat="1" ht="27.75" hidden="1" customHeight="1" x14ac:dyDescent="0.25">
      <c r="A607" s="1802">
        <v>29</v>
      </c>
      <c r="B607" s="1351">
        <v>2238506</v>
      </c>
      <c r="C607" s="1699" t="s">
        <v>444</v>
      </c>
      <c r="D607" s="1220">
        <v>1.0940000000000001</v>
      </c>
      <c r="E607" s="1559">
        <v>18770.400000000001</v>
      </c>
      <c r="F607" s="1220">
        <v>1.0940000000000001</v>
      </c>
      <c r="G607" s="1559">
        <v>18770.400000000001</v>
      </c>
      <c r="H607" s="1351"/>
      <c r="I607" s="1351"/>
      <c r="J607" s="1351"/>
      <c r="K607" s="1351"/>
      <c r="L607" s="1351"/>
      <c r="M607" s="408"/>
      <c r="N607" s="302"/>
      <c r="O607" s="302"/>
      <c r="P607" s="34"/>
      <c r="Q607" s="162"/>
      <c r="R607" s="967"/>
      <c r="S607" s="339"/>
      <c r="T607" s="1332" t="s">
        <v>1131</v>
      </c>
      <c r="U607" s="1332" t="s">
        <v>1341</v>
      </c>
      <c r="V607" s="1962" t="s">
        <v>43</v>
      </c>
      <c r="W607" s="1000"/>
      <c r="X607" s="934" t="s">
        <v>2</v>
      </c>
      <c r="Y607" s="2085"/>
      <c r="Z607" s="1275"/>
      <c r="AA607" s="1275"/>
      <c r="AB607" s="1962"/>
      <c r="AC607" s="1000"/>
      <c r="AD607" s="934"/>
      <c r="AE607" s="2085"/>
      <c r="AF607" s="1350"/>
      <c r="AG607" s="1350"/>
      <c r="AH607" s="1350"/>
      <c r="AI607" s="1350"/>
      <c r="AJ607" s="1350"/>
      <c r="AK607" s="1350"/>
      <c r="AL607" s="1350"/>
      <c r="AM607" s="1350"/>
      <c r="AN607" s="1350"/>
      <c r="AO607" s="1350"/>
      <c r="AP607" s="1350"/>
      <c r="AQ607" s="1350"/>
      <c r="AR607" s="1285" t="s">
        <v>1340</v>
      </c>
      <c r="AS607" s="312"/>
      <c r="AT607" s="312"/>
      <c r="AU607" s="312"/>
      <c r="AV607" s="312"/>
      <c r="AW607" s="312"/>
      <c r="AX607" s="312"/>
      <c r="AY607" s="312"/>
      <c r="AZ607" s="312"/>
      <c r="BA607" s="312"/>
      <c r="BB607" s="312"/>
      <c r="BC607" s="312"/>
      <c r="BD607" s="312"/>
      <c r="BE607" s="312"/>
      <c r="BF607" s="312"/>
      <c r="BG607" s="312"/>
      <c r="BH607" s="312"/>
      <c r="BI607" s="312"/>
      <c r="BJ607" s="312"/>
      <c r="BK607" s="312"/>
      <c r="BL607" s="312"/>
      <c r="BM607" s="312"/>
      <c r="BN607" s="312"/>
      <c r="BO607" s="312"/>
      <c r="BP607" s="312"/>
      <c r="BQ607" s="312"/>
      <c r="BR607" s="312"/>
      <c r="BS607" s="312"/>
      <c r="BT607" s="312"/>
      <c r="BU607" s="312"/>
      <c r="BV607" s="312"/>
      <c r="BW607" s="312"/>
      <c r="BX607" s="312"/>
      <c r="BY607" s="312"/>
      <c r="BZ607" s="312"/>
      <c r="CA607" s="312"/>
      <c r="CB607" s="312"/>
      <c r="CC607" s="312"/>
      <c r="CD607" s="312"/>
      <c r="CE607" s="312"/>
      <c r="CF607" s="312"/>
      <c r="CG607" s="312"/>
      <c r="CH607" s="312"/>
    </row>
    <row r="608" spans="1:86" s="301" customFormat="1" ht="27.75" hidden="1" customHeight="1" x14ac:dyDescent="0.25">
      <c r="A608" s="1604"/>
      <c r="B608" s="1297"/>
      <c r="C608" s="1273"/>
      <c r="D608" s="1213"/>
      <c r="E608" s="1271"/>
      <c r="F608" s="1213"/>
      <c r="G608" s="1271"/>
      <c r="H608" s="1297"/>
      <c r="I608" s="1297"/>
      <c r="J608" s="1297"/>
      <c r="K608" s="1297"/>
      <c r="L608" s="1297"/>
      <c r="M608" s="408"/>
      <c r="N608" s="302"/>
      <c r="O608" s="302"/>
      <c r="P608" s="34"/>
      <c r="Q608" s="212"/>
      <c r="R608" s="967"/>
      <c r="S608" s="339"/>
      <c r="T608" s="1235"/>
      <c r="U608" s="1235"/>
      <c r="V608" s="2083"/>
      <c r="W608" s="212"/>
      <c r="X608" s="967" t="s">
        <v>3</v>
      </c>
      <c r="Y608" s="2084"/>
      <c r="Z608" s="1235"/>
      <c r="AA608" s="1235"/>
      <c r="AB608" s="2083"/>
      <c r="AC608" s="212"/>
      <c r="AD608" s="967"/>
      <c r="AE608" s="2084"/>
      <c r="AF608" s="1297"/>
      <c r="AG608" s="1297"/>
      <c r="AH608" s="1297"/>
      <c r="AI608" s="1297"/>
      <c r="AJ608" s="1297"/>
      <c r="AK608" s="1297"/>
      <c r="AL608" s="1297"/>
      <c r="AM608" s="1297"/>
      <c r="AN608" s="1297"/>
      <c r="AO608" s="1297"/>
      <c r="AP608" s="1297"/>
      <c r="AQ608" s="1297"/>
      <c r="AR608" s="1213"/>
      <c r="AS608" s="312"/>
      <c r="AT608" s="312"/>
      <c r="AU608" s="312"/>
      <c r="AV608" s="312"/>
      <c r="AW608" s="312"/>
      <c r="AX608" s="312"/>
      <c r="AY608" s="312"/>
      <c r="AZ608" s="312"/>
      <c r="BA608" s="312"/>
      <c r="BB608" s="312"/>
      <c r="BC608" s="312"/>
      <c r="BD608" s="312"/>
      <c r="BE608" s="312"/>
      <c r="BF608" s="312"/>
      <c r="BG608" s="312"/>
      <c r="BH608" s="312"/>
      <c r="BI608" s="312"/>
      <c r="BJ608" s="312"/>
      <c r="BK608" s="312"/>
      <c r="BL608" s="312"/>
      <c r="BM608" s="312"/>
      <c r="BN608" s="312"/>
      <c r="BO608" s="312"/>
      <c r="BP608" s="312"/>
      <c r="BQ608" s="312"/>
      <c r="BR608" s="312"/>
      <c r="BS608" s="312"/>
      <c r="BT608" s="312"/>
      <c r="BU608" s="312"/>
      <c r="BV608" s="312"/>
      <c r="BW608" s="312"/>
      <c r="BX608" s="312"/>
      <c r="BY608" s="312"/>
      <c r="BZ608" s="312"/>
      <c r="CA608" s="312"/>
      <c r="CB608" s="312"/>
      <c r="CC608" s="312"/>
      <c r="CD608" s="312"/>
      <c r="CE608" s="312"/>
      <c r="CF608" s="312"/>
      <c r="CG608" s="312"/>
      <c r="CH608" s="312"/>
    </row>
    <row r="609" spans="1:86" s="312" customFormat="1" ht="41.1" customHeight="1" x14ac:dyDescent="0.25">
      <c r="A609" s="1285">
        <v>21</v>
      </c>
      <c r="B609" s="1285">
        <v>3404377</v>
      </c>
      <c r="C609" s="1343" t="s">
        <v>925</v>
      </c>
      <c r="D609" s="1472">
        <v>1.425</v>
      </c>
      <c r="E609" s="1558">
        <v>11279</v>
      </c>
      <c r="F609" s="1472">
        <v>1.425</v>
      </c>
      <c r="G609" s="1558">
        <v>11279</v>
      </c>
      <c r="H609" s="302"/>
      <c r="I609" s="302"/>
      <c r="J609" s="34"/>
      <c r="K609" s="1068"/>
      <c r="L609" s="928"/>
      <c r="M609" s="288"/>
      <c r="N609" s="302"/>
      <c r="O609" s="302"/>
      <c r="P609" s="34"/>
      <c r="Q609" s="1068"/>
      <c r="R609" s="928"/>
      <c r="S609" s="409"/>
      <c r="T609" s="302"/>
      <c r="U609" s="302"/>
      <c r="V609" s="34"/>
      <c r="W609" s="1068"/>
      <c r="X609" s="928"/>
      <c r="Y609" s="409"/>
      <c r="Z609" s="1332" t="s">
        <v>441</v>
      </c>
      <c r="AA609" s="1332" t="s">
        <v>1545</v>
      </c>
      <c r="AB609" s="1774" t="s">
        <v>43</v>
      </c>
      <c r="AC609" s="1068">
        <v>1.4630000000000001</v>
      </c>
      <c r="AD609" s="1081" t="s">
        <v>2</v>
      </c>
      <c r="AE609" s="1959">
        <v>20676.751899999999</v>
      </c>
      <c r="AF609" s="878"/>
      <c r="AG609" s="878"/>
      <c r="AH609" s="878"/>
      <c r="AI609" s="878"/>
      <c r="AJ609" s="878"/>
      <c r="AK609" s="878"/>
      <c r="AL609" s="878"/>
      <c r="AM609" s="878"/>
      <c r="AN609" s="878"/>
      <c r="AO609" s="878"/>
      <c r="AP609" s="878"/>
      <c r="AQ609" s="878"/>
      <c r="AR609" s="1285"/>
    </row>
    <row r="610" spans="1:86" s="312" customFormat="1" ht="27.6" customHeight="1" x14ac:dyDescent="0.25">
      <c r="A610" s="1213"/>
      <c r="B610" s="1213"/>
      <c r="C610" s="1273"/>
      <c r="D610" s="1473"/>
      <c r="E610" s="1271"/>
      <c r="F610" s="1473"/>
      <c r="G610" s="1271"/>
      <c r="H610" s="302"/>
      <c r="I610" s="302"/>
      <c r="J610" s="34"/>
      <c r="K610" s="1173"/>
      <c r="L610" s="878"/>
      <c r="M610" s="288"/>
      <c r="N610" s="302"/>
      <c r="O610" s="302"/>
      <c r="P610" s="34"/>
      <c r="Q610" s="1173"/>
      <c r="R610" s="878"/>
      <c r="S610" s="409"/>
      <c r="T610" s="302"/>
      <c r="U610" s="302"/>
      <c r="V610" s="34"/>
      <c r="W610" s="1173"/>
      <c r="X610" s="878"/>
      <c r="Y610" s="409"/>
      <c r="Z610" s="1235"/>
      <c r="AA610" s="1235"/>
      <c r="AB610" s="1213"/>
      <c r="AC610" s="1074">
        <v>11279</v>
      </c>
      <c r="AD610" s="911" t="s">
        <v>3</v>
      </c>
      <c r="AE610" s="1960"/>
      <c r="AF610" s="878"/>
      <c r="AG610" s="878"/>
      <c r="AH610" s="878"/>
      <c r="AI610" s="878"/>
      <c r="AJ610" s="878"/>
      <c r="AK610" s="878"/>
      <c r="AL610" s="878"/>
      <c r="AM610" s="878"/>
      <c r="AN610" s="878"/>
      <c r="AO610" s="878"/>
      <c r="AP610" s="878"/>
      <c r="AQ610" s="878"/>
      <c r="AR610" s="1213"/>
    </row>
    <row r="611" spans="1:86" s="120" customFormat="1" ht="28.9" hidden="1" customHeight="1" x14ac:dyDescent="0.2">
      <c r="A611" s="1603">
        <v>21</v>
      </c>
      <c r="B611" s="1595" t="s">
        <v>393</v>
      </c>
      <c r="C611" s="1389" t="s">
        <v>458</v>
      </c>
      <c r="D611" s="1374">
        <v>1.82</v>
      </c>
      <c r="E611" s="1558">
        <v>16563.400000000001</v>
      </c>
      <c r="F611" s="1374">
        <v>1.82</v>
      </c>
      <c r="G611" s="1558">
        <v>16563.400000000001</v>
      </c>
      <c r="H611" s="1595"/>
      <c r="I611" s="1595"/>
      <c r="J611" s="1595"/>
      <c r="K611" s="1595"/>
      <c r="L611" s="1595"/>
      <c r="M611" s="406"/>
      <c r="N611" s="406"/>
      <c r="O611" s="406"/>
      <c r="P611" s="406"/>
      <c r="Q611" s="406"/>
      <c r="R611" s="406"/>
      <c r="S611" s="409"/>
      <c r="T611" s="406"/>
      <c r="U611" s="406"/>
      <c r="V611" s="34"/>
      <c r="W611" s="1068"/>
      <c r="X611" s="1068"/>
      <c r="Y611" s="407"/>
      <c r="Z611" s="1332" t="s">
        <v>1392</v>
      </c>
      <c r="AA611" s="1332" t="s">
        <v>1344</v>
      </c>
      <c r="AB611" s="1774" t="s">
        <v>43</v>
      </c>
      <c r="AC611" s="1068"/>
      <c r="AD611" s="1068"/>
      <c r="AE611" s="2530"/>
      <c r="AF611" s="1595"/>
      <c r="AG611" s="1595"/>
      <c r="AH611" s="1595"/>
      <c r="AI611" s="1595"/>
      <c r="AJ611" s="1595"/>
      <c r="AK611" s="1595"/>
      <c r="AL611" s="1595"/>
      <c r="AM611" s="1595"/>
      <c r="AN611" s="1595"/>
      <c r="AO611" s="1595"/>
      <c r="AP611" s="1595"/>
      <c r="AQ611" s="1595"/>
      <c r="AR611" s="1285" t="s">
        <v>1417</v>
      </c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</row>
    <row r="612" spans="1:86" s="120" customFormat="1" ht="28.9" hidden="1" customHeight="1" x14ac:dyDescent="0.2">
      <c r="A612" s="1604"/>
      <c r="B612" s="1593"/>
      <c r="C612" s="1390"/>
      <c r="D612" s="1375"/>
      <c r="E612" s="1271"/>
      <c r="F612" s="1375"/>
      <c r="G612" s="1271"/>
      <c r="H612" s="1593"/>
      <c r="I612" s="1593"/>
      <c r="J612" s="1593"/>
      <c r="K612" s="1593"/>
      <c r="L612" s="1593"/>
      <c r="M612" s="406"/>
      <c r="N612" s="406"/>
      <c r="O612" s="406"/>
      <c r="P612" s="406"/>
      <c r="Q612" s="406"/>
      <c r="R612" s="406"/>
      <c r="S612" s="409"/>
      <c r="T612" s="406"/>
      <c r="U612" s="406"/>
      <c r="V612" s="34"/>
      <c r="W612" s="1173"/>
      <c r="X612" s="1068"/>
      <c r="Y612" s="407"/>
      <c r="Z612" s="1235"/>
      <c r="AA612" s="1235"/>
      <c r="AB612" s="1213"/>
      <c r="AC612" s="1173"/>
      <c r="AD612" s="1068"/>
      <c r="AE612" s="2531"/>
      <c r="AF612" s="1593"/>
      <c r="AG612" s="1593"/>
      <c r="AH612" s="1593"/>
      <c r="AI612" s="1593"/>
      <c r="AJ612" s="1593"/>
      <c r="AK612" s="1593"/>
      <c r="AL612" s="1593"/>
      <c r="AM612" s="1593"/>
      <c r="AN612" s="1593"/>
      <c r="AO612" s="1593"/>
      <c r="AP612" s="1593"/>
      <c r="AQ612" s="1593"/>
      <c r="AR612" s="1213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  <c r="BW612" s="119"/>
      <c r="BX612" s="119"/>
      <c r="BY612" s="119"/>
      <c r="BZ612" s="119"/>
      <c r="CA612" s="119"/>
      <c r="CB612" s="119"/>
      <c r="CC612" s="119"/>
      <c r="CD612" s="119"/>
      <c r="CE612" s="119"/>
      <c r="CF612" s="119"/>
      <c r="CG612" s="119"/>
      <c r="CH612" s="119"/>
    </row>
    <row r="613" spans="1:86" s="120" customFormat="1" ht="32.85" hidden="1" customHeight="1" x14ac:dyDescent="0.2">
      <c r="A613" s="1603">
        <v>22</v>
      </c>
      <c r="B613" s="1595" t="s">
        <v>396</v>
      </c>
      <c r="C613" s="1389" t="s">
        <v>459</v>
      </c>
      <c r="D613" s="1374">
        <v>0.84</v>
      </c>
      <c r="E613" s="1558">
        <v>12582</v>
      </c>
      <c r="F613" s="1374">
        <v>0.84</v>
      </c>
      <c r="G613" s="1558">
        <v>12582</v>
      </c>
      <c r="H613" s="1595"/>
      <c r="I613" s="1595"/>
      <c r="J613" s="1595"/>
      <c r="K613" s="1595"/>
      <c r="L613" s="1595"/>
      <c r="M613" s="406"/>
      <c r="N613" s="406"/>
      <c r="O613" s="406"/>
      <c r="P613" s="406"/>
      <c r="Q613" s="406"/>
      <c r="R613" s="406"/>
      <c r="S613" s="409"/>
      <c r="T613" s="406"/>
      <c r="U613" s="406"/>
      <c r="V613" s="34"/>
      <c r="W613" s="1068"/>
      <c r="X613" s="1068"/>
      <c r="Y613" s="407"/>
      <c r="Z613" s="1332" t="s">
        <v>1098</v>
      </c>
      <c r="AA613" s="1332" t="s">
        <v>1348</v>
      </c>
      <c r="AB613" s="1774" t="s">
        <v>43</v>
      </c>
      <c r="AC613" s="1012"/>
      <c r="AD613" s="1068" t="s">
        <v>2</v>
      </c>
      <c r="AE613" s="1959"/>
      <c r="AF613" s="1595"/>
      <c r="AG613" s="1595"/>
      <c r="AH613" s="1595"/>
      <c r="AI613" s="1595"/>
      <c r="AJ613" s="1595"/>
      <c r="AK613" s="1595"/>
      <c r="AL613" s="1595"/>
      <c r="AM613" s="1595"/>
      <c r="AN613" s="1595"/>
      <c r="AO613" s="1595"/>
      <c r="AP613" s="1595"/>
      <c r="AQ613" s="1595"/>
      <c r="AR613" s="1285" t="s">
        <v>1347</v>
      </c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  <c r="BW613" s="119"/>
      <c r="BX613" s="119"/>
      <c r="BY613" s="119"/>
      <c r="BZ613" s="119"/>
      <c r="CA613" s="119"/>
      <c r="CB613" s="119"/>
      <c r="CC613" s="119"/>
      <c r="CD613" s="119"/>
      <c r="CE613" s="119"/>
      <c r="CF613" s="119"/>
      <c r="CG613" s="119"/>
      <c r="CH613" s="119"/>
    </row>
    <row r="614" spans="1:86" s="120" customFormat="1" ht="32.85" hidden="1" customHeight="1" x14ac:dyDescent="0.2">
      <c r="A614" s="1604"/>
      <c r="B614" s="1593"/>
      <c r="C614" s="1390"/>
      <c r="D614" s="1375"/>
      <c r="E614" s="1271"/>
      <c r="F614" s="1375"/>
      <c r="G614" s="1271"/>
      <c r="H614" s="1593"/>
      <c r="I614" s="1593"/>
      <c r="J614" s="1593"/>
      <c r="K614" s="1593"/>
      <c r="L614" s="1593"/>
      <c r="M614" s="406"/>
      <c r="N614" s="406"/>
      <c r="O614" s="406"/>
      <c r="P614" s="406"/>
      <c r="Q614" s="406"/>
      <c r="R614" s="406"/>
      <c r="S614" s="409"/>
      <c r="T614" s="680"/>
      <c r="U614" s="680"/>
      <c r="V614" s="34"/>
      <c r="W614" s="1173"/>
      <c r="X614" s="1068"/>
      <c r="Y614" s="407"/>
      <c r="Z614" s="1235"/>
      <c r="AA614" s="1235"/>
      <c r="AB614" s="1213"/>
      <c r="AC614" s="1173"/>
      <c r="AD614" s="1068" t="s">
        <v>3</v>
      </c>
      <c r="AE614" s="1960"/>
      <c r="AF614" s="1593"/>
      <c r="AG614" s="1593"/>
      <c r="AH614" s="1593"/>
      <c r="AI614" s="1593"/>
      <c r="AJ614" s="1593"/>
      <c r="AK614" s="1593"/>
      <c r="AL614" s="1593"/>
      <c r="AM614" s="1593"/>
      <c r="AN614" s="1593"/>
      <c r="AO614" s="1593"/>
      <c r="AP614" s="1593"/>
      <c r="AQ614" s="1593"/>
      <c r="AR614" s="1213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</row>
    <row r="615" spans="1:86" s="120" customFormat="1" ht="34.15" customHeight="1" x14ac:dyDescent="0.2">
      <c r="A615" s="1847">
        <v>22</v>
      </c>
      <c r="B615" s="1849" t="s">
        <v>304</v>
      </c>
      <c r="C615" s="1845" t="s">
        <v>460</v>
      </c>
      <c r="D615" s="1836">
        <v>1.478</v>
      </c>
      <c r="E615" s="1362">
        <v>12965.3</v>
      </c>
      <c r="F615" s="1836">
        <v>1.478</v>
      </c>
      <c r="G615" s="1362">
        <v>12965.3</v>
      </c>
      <c r="H615" s="1595"/>
      <c r="I615" s="1595"/>
      <c r="J615" s="1595"/>
      <c r="K615" s="1595"/>
      <c r="L615" s="1595"/>
      <c r="M615" s="406"/>
      <c r="N615" s="406"/>
      <c r="O615" s="406"/>
      <c r="P615" s="406"/>
      <c r="Q615" s="406"/>
      <c r="R615" s="406"/>
      <c r="S615" s="409"/>
      <c r="T615" s="1215" t="s">
        <v>1416</v>
      </c>
      <c r="U615" s="1215" t="s">
        <v>1328</v>
      </c>
      <c r="V615" s="1774" t="s">
        <v>43</v>
      </c>
      <c r="W615" s="1068">
        <v>0.33</v>
      </c>
      <c r="X615" s="1068" t="s">
        <v>2</v>
      </c>
      <c r="Y615" s="2447">
        <f>5662.692-Y617-Y618</f>
        <v>5631.4369999999999</v>
      </c>
      <c r="Z615" s="802"/>
      <c r="AA615" s="802"/>
      <c r="AB615" s="803"/>
      <c r="AC615" s="801"/>
      <c r="AD615" s="801"/>
      <c r="AE615" s="804"/>
      <c r="AF615" s="802"/>
      <c r="AG615" s="802"/>
      <c r="AH615" s="803"/>
      <c r="AI615" s="801"/>
      <c r="AJ615" s="801"/>
      <c r="AK615" s="804"/>
      <c r="AL615" s="1595"/>
      <c r="AM615" s="1595"/>
      <c r="AN615" s="1595"/>
      <c r="AO615" s="1595"/>
      <c r="AP615" s="1595"/>
      <c r="AQ615" s="1595"/>
      <c r="AR615" s="1285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  <c r="BY615" s="119"/>
      <c r="BZ615" s="119"/>
      <c r="CA615" s="119"/>
      <c r="CB615" s="119"/>
      <c r="CC615" s="119"/>
      <c r="CD615" s="119"/>
      <c r="CE615" s="119"/>
      <c r="CF615" s="119"/>
      <c r="CG615" s="119"/>
      <c r="CH615" s="119"/>
    </row>
    <row r="616" spans="1:86" s="120" customFormat="1" ht="34.15" customHeight="1" x14ac:dyDescent="0.2">
      <c r="A616" s="1848"/>
      <c r="B616" s="1830"/>
      <c r="C616" s="1846"/>
      <c r="D616" s="1779"/>
      <c r="E616" s="1835"/>
      <c r="F616" s="1779"/>
      <c r="G616" s="1835"/>
      <c r="H616" s="1593"/>
      <c r="I616" s="1593"/>
      <c r="J616" s="1593"/>
      <c r="K616" s="1593"/>
      <c r="L616" s="1593"/>
      <c r="M616" s="406"/>
      <c r="N616" s="406"/>
      <c r="O616" s="406"/>
      <c r="P616" s="406"/>
      <c r="Q616" s="406"/>
      <c r="R616" s="406"/>
      <c r="S616" s="409"/>
      <c r="T616" s="1215"/>
      <c r="U616" s="1215"/>
      <c r="V616" s="1213"/>
      <c r="W616" s="1115">
        <v>2510</v>
      </c>
      <c r="X616" s="1068" t="s">
        <v>3</v>
      </c>
      <c r="Y616" s="2234"/>
      <c r="Z616" s="802"/>
      <c r="AA616" s="802"/>
      <c r="AB616" s="803"/>
      <c r="AC616" s="805"/>
      <c r="AD616" s="801"/>
      <c r="AE616" s="804"/>
      <c r="AF616" s="802"/>
      <c r="AG616" s="802"/>
      <c r="AH616" s="803"/>
      <c r="AI616" s="805"/>
      <c r="AJ616" s="801"/>
      <c r="AK616" s="804"/>
      <c r="AL616" s="1593"/>
      <c r="AM616" s="1593"/>
      <c r="AN616" s="1593"/>
      <c r="AO616" s="1593"/>
      <c r="AP616" s="1593"/>
      <c r="AQ616" s="1593"/>
      <c r="AR616" s="1213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19"/>
      <c r="BZ616" s="119"/>
      <c r="CA616" s="119"/>
      <c r="CB616" s="119"/>
      <c r="CC616" s="119"/>
      <c r="CD616" s="119"/>
      <c r="CE616" s="119"/>
      <c r="CF616" s="119"/>
      <c r="CG616" s="119"/>
      <c r="CH616" s="119"/>
    </row>
    <row r="617" spans="1:86" s="120" customFormat="1" ht="34.15" customHeight="1" x14ac:dyDescent="0.2">
      <c r="A617" s="1848"/>
      <c r="B617" s="1830"/>
      <c r="C617" s="1846"/>
      <c r="D617" s="1779"/>
      <c r="E617" s="1835"/>
      <c r="F617" s="1779"/>
      <c r="G617" s="1835"/>
      <c r="H617" s="1015"/>
      <c r="I617" s="1015"/>
      <c r="J617" s="1015"/>
      <c r="K617" s="1015"/>
      <c r="L617" s="1015"/>
      <c r="M617" s="406"/>
      <c r="N617" s="406"/>
      <c r="O617" s="406"/>
      <c r="P617" s="406"/>
      <c r="Q617" s="406"/>
      <c r="R617" s="406"/>
      <c r="S617" s="409"/>
      <c r="T617" s="1215"/>
      <c r="U617" s="1215"/>
      <c r="V617" s="878" t="s">
        <v>6</v>
      </c>
      <c r="W617" s="1007">
        <v>0.29399999999999998</v>
      </c>
      <c r="X617" s="1012" t="s">
        <v>2</v>
      </c>
      <c r="Y617" s="645">
        <v>23.53</v>
      </c>
      <c r="Z617" s="302"/>
      <c r="AA617" s="302"/>
      <c r="AB617" s="34"/>
      <c r="AC617" s="1173"/>
      <c r="AD617" s="1068"/>
      <c r="AE617" s="409"/>
      <c r="AF617" s="1015"/>
      <c r="AG617" s="1015"/>
      <c r="AH617" s="1015"/>
      <c r="AI617" s="1015"/>
      <c r="AJ617" s="1015"/>
      <c r="AK617" s="1015"/>
      <c r="AL617" s="1015"/>
      <c r="AM617" s="1015"/>
      <c r="AN617" s="1015"/>
      <c r="AO617" s="1015"/>
      <c r="AP617" s="1015"/>
      <c r="AQ617" s="1015"/>
      <c r="AR617" s="90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  <c r="BY617" s="119"/>
      <c r="BZ617" s="119"/>
      <c r="CA617" s="119"/>
      <c r="CB617" s="119"/>
      <c r="CC617" s="119"/>
      <c r="CD617" s="119"/>
      <c r="CE617" s="119"/>
      <c r="CF617" s="119"/>
      <c r="CG617" s="119"/>
      <c r="CH617" s="119"/>
    </row>
    <row r="618" spans="1:86" s="120" customFormat="1" ht="34.15" customHeight="1" x14ac:dyDescent="0.2">
      <c r="A618" s="1604"/>
      <c r="B618" s="1593"/>
      <c r="C618" s="1390"/>
      <c r="D618" s="1375"/>
      <c r="E618" s="1271"/>
      <c r="F618" s="1375"/>
      <c r="G618" s="1271"/>
      <c r="H618" s="1015"/>
      <c r="I618" s="1015"/>
      <c r="J618" s="1015"/>
      <c r="K618" s="1015"/>
      <c r="L618" s="1015"/>
      <c r="M618" s="406"/>
      <c r="N618" s="406"/>
      <c r="O618" s="406"/>
      <c r="P618" s="406"/>
      <c r="Q618" s="406"/>
      <c r="R618" s="406"/>
      <c r="S618" s="409"/>
      <c r="T618" s="1215"/>
      <c r="U618" s="1215"/>
      <c r="V618" s="878" t="s">
        <v>35</v>
      </c>
      <c r="W618" s="1021">
        <v>3</v>
      </c>
      <c r="X618" s="1012" t="s">
        <v>8</v>
      </c>
      <c r="Y618" s="645">
        <v>7.7249999999999996</v>
      </c>
      <c r="Z618" s="302"/>
      <c r="AA618" s="302"/>
      <c r="AB618" s="34"/>
      <c r="AC618" s="1173"/>
      <c r="AD618" s="1068"/>
      <c r="AE618" s="409"/>
      <c r="AF618" s="1015"/>
      <c r="AG618" s="1015"/>
      <c r="AH618" s="1015"/>
      <c r="AI618" s="1015"/>
      <c r="AJ618" s="1015"/>
      <c r="AK618" s="1015"/>
      <c r="AL618" s="1015"/>
      <c r="AM618" s="1015"/>
      <c r="AN618" s="1015"/>
      <c r="AO618" s="1015"/>
      <c r="AP618" s="1015"/>
      <c r="AQ618" s="1015"/>
      <c r="AR618" s="90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  <c r="BW618" s="119"/>
      <c r="BX618" s="119"/>
      <c r="BY618" s="119"/>
      <c r="BZ618" s="119"/>
      <c r="CA618" s="119"/>
      <c r="CB618" s="119"/>
      <c r="CC618" s="119"/>
      <c r="CD618" s="119"/>
      <c r="CE618" s="119"/>
      <c r="CF618" s="119"/>
      <c r="CG618" s="119"/>
      <c r="CH618" s="119"/>
    </row>
    <row r="619" spans="1:86" s="120" customFormat="1" ht="36" customHeight="1" x14ac:dyDescent="0.2">
      <c r="A619" s="1847">
        <v>23</v>
      </c>
      <c r="B619" s="2356">
        <v>2240043</v>
      </c>
      <c r="C619" s="1845" t="s">
        <v>461</v>
      </c>
      <c r="D619" s="1836">
        <v>0.47399999999999998</v>
      </c>
      <c r="E619" s="1362">
        <v>6910.8</v>
      </c>
      <c r="F619" s="1836">
        <v>0.47399999999999998</v>
      </c>
      <c r="G619" s="1362">
        <v>6910.8</v>
      </c>
      <c r="H619" s="1595"/>
      <c r="I619" s="1595"/>
      <c r="J619" s="1595"/>
      <c r="K619" s="1595"/>
      <c r="L619" s="1595"/>
      <c r="M619" s="406"/>
      <c r="N619" s="406"/>
      <c r="O619" s="406"/>
      <c r="P619" s="406"/>
      <c r="Q619" s="406"/>
      <c r="R619" s="406"/>
      <c r="S619" s="409"/>
      <c r="T619" s="1215" t="s">
        <v>1348</v>
      </c>
      <c r="U619" s="1215" t="s">
        <v>1418</v>
      </c>
      <c r="V619" s="2078" t="s">
        <v>43</v>
      </c>
      <c r="W619" s="1012">
        <v>0.215</v>
      </c>
      <c r="X619" s="1012" t="s">
        <v>2</v>
      </c>
      <c r="Y619" s="2448">
        <f>2604.7164-Y621-Y622</f>
        <v>2428.6443999999997</v>
      </c>
      <c r="Z619" s="302"/>
      <c r="AA619" s="302"/>
      <c r="AB619" s="34"/>
      <c r="AC619" s="1068"/>
      <c r="AD619" s="1068"/>
      <c r="AE619" s="409"/>
      <c r="AF619" s="1595"/>
      <c r="AG619" s="1595"/>
      <c r="AH619" s="1595"/>
      <c r="AI619" s="1595"/>
      <c r="AJ619" s="1595"/>
      <c r="AK619" s="1595"/>
      <c r="AL619" s="1595"/>
      <c r="AM619" s="1595"/>
      <c r="AN619" s="1595"/>
      <c r="AO619" s="1595"/>
      <c r="AP619" s="1595"/>
      <c r="AQ619" s="1595"/>
      <c r="AR619" s="1285" t="s">
        <v>1419</v>
      </c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  <c r="BY619" s="119"/>
      <c r="BZ619" s="119"/>
      <c r="CA619" s="119"/>
      <c r="CB619" s="119"/>
      <c r="CC619" s="119"/>
      <c r="CD619" s="119"/>
      <c r="CE619" s="119"/>
      <c r="CF619" s="119"/>
      <c r="CG619" s="119"/>
      <c r="CH619" s="119"/>
    </row>
    <row r="620" spans="1:86" s="120" customFormat="1" ht="36" customHeight="1" x14ac:dyDescent="0.2">
      <c r="A620" s="1848"/>
      <c r="B620" s="1894"/>
      <c r="C620" s="1846"/>
      <c r="D620" s="1779"/>
      <c r="E620" s="1835"/>
      <c r="F620" s="1779"/>
      <c r="G620" s="1835"/>
      <c r="H620" s="1593"/>
      <c r="I620" s="1593"/>
      <c r="J620" s="1593"/>
      <c r="K620" s="1593"/>
      <c r="L620" s="1593"/>
      <c r="M620" s="406"/>
      <c r="N620" s="406"/>
      <c r="O620" s="406"/>
      <c r="P620" s="406"/>
      <c r="Q620" s="406"/>
      <c r="R620" s="406"/>
      <c r="S620" s="409"/>
      <c r="T620" s="1215"/>
      <c r="U620" s="1215"/>
      <c r="V620" s="1213"/>
      <c r="W620" s="1115">
        <v>2270</v>
      </c>
      <c r="X620" s="1068" t="s">
        <v>3</v>
      </c>
      <c r="Y620" s="2234"/>
      <c r="Z620" s="302"/>
      <c r="AA620" s="302"/>
      <c r="AB620" s="34"/>
      <c r="AC620" s="1173"/>
      <c r="AD620" s="1068"/>
      <c r="AE620" s="409"/>
      <c r="AF620" s="1593"/>
      <c r="AG620" s="1593"/>
      <c r="AH620" s="1593"/>
      <c r="AI620" s="1593"/>
      <c r="AJ620" s="1593"/>
      <c r="AK620" s="1593"/>
      <c r="AL620" s="1593"/>
      <c r="AM620" s="1593"/>
      <c r="AN620" s="1593"/>
      <c r="AO620" s="1593"/>
      <c r="AP620" s="1593"/>
      <c r="AQ620" s="1593"/>
      <c r="AR620" s="1213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  <c r="BY620" s="119"/>
      <c r="BZ620" s="119"/>
      <c r="CA620" s="119"/>
      <c r="CB620" s="119"/>
      <c r="CC620" s="119"/>
      <c r="CD620" s="119"/>
      <c r="CE620" s="119"/>
      <c r="CF620" s="119"/>
      <c r="CG620" s="119"/>
      <c r="CH620" s="119"/>
    </row>
    <row r="621" spans="1:86" s="120" customFormat="1" ht="36" customHeight="1" x14ac:dyDescent="0.2">
      <c r="A621" s="1848"/>
      <c r="B621" s="1894"/>
      <c r="C621" s="1846"/>
      <c r="D621" s="1779"/>
      <c r="E621" s="1835"/>
      <c r="F621" s="1779"/>
      <c r="G621" s="1835"/>
      <c r="H621" s="1015"/>
      <c r="I621" s="1015"/>
      <c r="J621" s="1015"/>
      <c r="K621" s="1015"/>
      <c r="L621" s="1015"/>
      <c r="M621" s="406"/>
      <c r="N621" s="406"/>
      <c r="O621" s="406"/>
      <c r="P621" s="406"/>
      <c r="Q621" s="406"/>
      <c r="R621" s="406"/>
      <c r="S621" s="409"/>
      <c r="T621" s="1215"/>
      <c r="U621" s="1215"/>
      <c r="V621" s="878" t="s">
        <v>6</v>
      </c>
      <c r="W621" s="1007">
        <v>0.22600000000000001</v>
      </c>
      <c r="X621" s="1012" t="s">
        <v>2</v>
      </c>
      <c r="Y621" s="645">
        <v>168.34700000000001</v>
      </c>
      <c r="Z621" s="302"/>
      <c r="AA621" s="302"/>
      <c r="AB621" s="34"/>
      <c r="AC621" s="1173"/>
      <c r="AD621" s="1068"/>
      <c r="AE621" s="409"/>
      <c r="AF621" s="1068"/>
      <c r="AG621" s="1068"/>
      <c r="AH621" s="1068"/>
      <c r="AI621" s="1068"/>
      <c r="AJ621" s="1068"/>
      <c r="AK621" s="1068"/>
      <c r="AL621" s="1068"/>
      <c r="AM621" s="1068"/>
      <c r="AN621" s="1068"/>
      <c r="AO621" s="1068"/>
      <c r="AP621" s="1068"/>
      <c r="AQ621" s="1068"/>
      <c r="AR621" s="878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</row>
    <row r="622" spans="1:86" s="120" customFormat="1" ht="36" customHeight="1" x14ac:dyDescent="0.2">
      <c r="A622" s="1604"/>
      <c r="B622" s="1392"/>
      <c r="C622" s="1390"/>
      <c r="D622" s="1375"/>
      <c r="E622" s="1271"/>
      <c r="F622" s="1375"/>
      <c r="G622" s="1271"/>
      <c r="H622" s="1015"/>
      <c r="I622" s="1015"/>
      <c r="J622" s="1015"/>
      <c r="K622" s="1015"/>
      <c r="L622" s="1015"/>
      <c r="M622" s="406"/>
      <c r="N622" s="406"/>
      <c r="O622" s="406"/>
      <c r="P622" s="406"/>
      <c r="Q622" s="406"/>
      <c r="R622" s="406"/>
      <c r="S622" s="409"/>
      <c r="T622" s="1215"/>
      <c r="U622" s="1215"/>
      <c r="V622" s="878" t="s">
        <v>35</v>
      </c>
      <c r="W622" s="1021">
        <v>2</v>
      </c>
      <c r="X622" s="1012" t="s">
        <v>8</v>
      </c>
      <c r="Y622" s="790">
        <v>7.7249999999999996</v>
      </c>
      <c r="Z622" s="302"/>
      <c r="AA622" s="302"/>
      <c r="AB622" s="34"/>
      <c r="AC622" s="1173"/>
      <c r="AD622" s="1068"/>
      <c r="AE622" s="409"/>
      <c r="AF622" s="1068"/>
      <c r="AG622" s="1068"/>
      <c r="AH622" s="1068"/>
      <c r="AI622" s="1068"/>
      <c r="AJ622" s="1068"/>
      <c r="AK622" s="1068"/>
      <c r="AL622" s="1068"/>
      <c r="AM622" s="1068"/>
      <c r="AN622" s="1068"/>
      <c r="AO622" s="1068"/>
      <c r="AP622" s="1068"/>
      <c r="AQ622" s="1068"/>
      <c r="AR622" s="878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  <c r="BY622" s="119"/>
      <c r="BZ622" s="119"/>
      <c r="CA622" s="119"/>
      <c r="CB622" s="119"/>
      <c r="CC622" s="119"/>
      <c r="CD622" s="119"/>
      <c r="CE622" s="119"/>
      <c r="CF622" s="119"/>
      <c r="CG622" s="119"/>
      <c r="CH622" s="119"/>
    </row>
    <row r="623" spans="1:86" s="120" customFormat="1" ht="37.35" customHeight="1" x14ac:dyDescent="0.2">
      <c r="A623" s="1603">
        <f t="shared" ref="A623" si="16">A619+1</f>
        <v>24</v>
      </c>
      <c r="B623" s="2532" t="s">
        <v>1497</v>
      </c>
      <c r="C623" s="1389" t="s">
        <v>1496</v>
      </c>
      <c r="D623" s="1374">
        <v>3.645</v>
      </c>
      <c r="E623" s="1558">
        <v>43875</v>
      </c>
      <c r="F623" s="1374">
        <v>3.645</v>
      </c>
      <c r="G623" s="1558">
        <v>43875</v>
      </c>
      <c r="H623" s="1595"/>
      <c r="I623" s="1595"/>
      <c r="J623" s="1595"/>
      <c r="K623" s="1595"/>
      <c r="L623" s="1595"/>
      <c r="M623" s="406"/>
      <c r="N623" s="406"/>
      <c r="O623" s="406"/>
      <c r="P623" s="406"/>
      <c r="Q623" s="406"/>
      <c r="R623" s="406"/>
      <c r="S623" s="409"/>
      <c r="T623" s="1332" t="s">
        <v>1519</v>
      </c>
      <c r="U623" s="1332" t="s">
        <v>1519</v>
      </c>
      <c r="V623" s="1285" t="s">
        <v>1046</v>
      </c>
      <c r="W623" s="1285">
        <v>1</v>
      </c>
      <c r="X623" s="1285" t="s">
        <v>8</v>
      </c>
      <c r="Y623" s="2080">
        <v>586.46803</v>
      </c>
      <c r="Z623" s="1369" t="s">
        <v>1529</v>
      </c>
      <c r="AA623" s="1369" t="s">
        <v>1530</v>
      </c>
      <c r="AB623" s="2078" t="s">
        <v>43</v>
      </c>
      <c r="AC623" s="1012">
        <v>1.157</v>
      </c>
      <c r="AD623" s="1012" t="s">
        <v>2</v>
      </c>
      <c r="AE623" s="2077">
        <v>22030.7304</v>
      </c>
      <c r="AF623" s="1771"/>
      <c r="AG623" s="1771"/>
      <c r="AH623" s="1771"/>
      <c r="AI623" s="1771"/>
      <c r="AJ623" s="1771"/>
      <c r="AK623" s="1771"/>
      <c r="AL623" s="1771"/>
      <c r="AM623" s="1771"/>
      <c r="AN623" s="1771"/>
      <c r="AO623" s="1771"/>
      <c r="AP623" s="1771"/>
      <c r="AQ623" s="1771"/>
      <c r="AR623" s="2078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  <c r="BY623" s="119"/>
      <c r="BZ623" s="119"/>
      <c r="CA623" s="119"/>
      <c r="CB623" s="119"/>
      <c r="CC623" s="119"/>
      <c r="CD623" s="119"/>
      <c r="CE623" s="119"/>
      <c r="CF623" s="119"/>
      <c r="CG623" s="119"/>
      <c r="CH623" s="119"/>
    </row>
    <row r="624" spans="1:86" s="120" customFormat="1" ht="37.35" customHeight="1" x14ac:dyDescent="0.2">
      <c r="A624" s="1604"/>
      <c r="B624" s="2533"/>
      <c r="C624" s="1390"/>
      <c r="D624" s="1375"/>
      <c r="E624" s="1271"/>
      <c r="F624" s="1375"/>
      <c r="G624" s="1271"/>
      <c r="H624" s="1593"/>
      <c r="I624" s="1593"/>
      <c r="J624" s="1593"/>
      <c r="K624" s="1593"/>
      <c r="L624" s="1593"/>
      <c r="M624" s="406"/>
      <c r="N624" s="406"/>
      <c r="O624" s="406"/>
      <c r="P624" s="406"/>
      <c r="Q624" s="406"/>
      <c r="R624" s="406"/>
      <c r="S624" s="409"/>
      <c r="T624" s="1235"/>
      <c r="U624" s="1235"/>
      <c r="V624" s="1213"/>
      <c r="W624" s="1213"/>
      <c r="X624" s="1213"/>
      <c r="Y624" s="2081"/>
      <c r="Z624" s="1235"/>
      <c r="AA624" s="1235"/>
      <c r="AB624" s="1213"/>
      <c r="AC624" s="1113">
        <v>43875</v>
      </c>
      <c r="AD624" s="1068" t="s">
        <v>3</v>
      </c>
      <c r="AE624" s="1960"/>
      <c r="AF624" s="1593"/>
      <c r="AG624" s="1593"/>
      <c r="AH624" s="1593"/>
      <c r="AI624" s="1593"/>
      <c r="AJ624" s="1593"/>
      <c r="AK624" s="1593"/>
      <c r="AL624" s="1593"/>
      <c r="AM624" s="1593"/>
      <c r="AN624" s="1593"/>
      <c r="AO624" s="1593"/>
      <c r="AP624" s="1593"/>
      <c r="AQ624" s="1593"/>
      <c r="AR624" s="1213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  <c r="BY624" s="119"/>
      <c r="BZ624" s="119"/>
      <c r="CA624" s="119"/>
      <c r="CB624" s="119"/>
      <c r="CC624" s="119"/>
      <c r="CD624" s="119"/>
      <c r="CE624" s="119"/>
      <c r="CF624" s="119"/>
      <c r="CG624" s="119"/>
      <c r="CH624" s="119"/>
    </row>
    <row r="625" spans="1:86" s="53" customFormat="1" ht="37.35" hidden="1" customHeight="1" x14ac:dyDescent="0.2">
      <c r="A625" s="983">
        <f>A623+1</f>
        <v>25</v>
      </c>
      <c r="B625" s="878">
        <v>3404372</v>
      </c>
      <c r="C625" s="919" t="s">
        <v>853</v>
      </c>
      <c r="D625" s="975">
        <v>4.5</v>
      </c>
      <c r="E625" s="970"/>
      <c r="F625" s="975">
        <v>4.5</v>
      </c>
      <c r="G625" s="970"/>
      <c r="H625" s="1056"/>
      <c r="I625" s="1056"/>
      <c r="J625" s="1056"/>
      <c r="K625" s="1056"/>
      <c r="L625" s="1056"/>
      <c r="M625" s="1056"/>
      <c r="N625" s="1056"/>
      <c r="O625" s="1056"/>
      <c r="P625" s="1056"/>
      <c r="Q625" s="1056"/>
      <c r="R625" s="1056"/>
      <c r="S625" s="296"/>
      <c r="T625" s="294"/>
      <c r="U625" s="294"/>
      <c r="V625" s="294"/>
      <c r="W625" s="84"/>
      <c r="X625" s="85"/>
      <c r="Y625" s="295"/>
      <c r="Z625" s="1056"/>
      <c r="AA625" s="1056"/>
      <c r="AB625" s="1056"/>
      <c r="AC625" s="1056"/>
      <c r="AD625" s="1056"/>
      <c r="AE625" s="1056"/>
      <c r="AF625" s="1056"/>
      <c r="AG625" s="1056"/>
      <c r="AH625" s="1056"/>
      <c r="AI625" s="1056"/>
      <c r="AJ625" s="1056"/>
      <c r="AK625" s="1056"/>
      <c r="AL625" s="1056"/>
      <c r="AM625" s="1056"/>
      <c r="AN625" s="1056"/>
      <c r="AO625" s="1056"/>
      <c r="AP625" s="1056"/>
      <c r="AQ625" s="1056"/>
      <c r="AR625" s="1056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</row>
    <row r="626" spans="1:86" s="53" customFormat="1" ht="21.75" hidden="1" customHeight="1" x14ac:dyDescent="0.2">
      <c r="A626" s="983">
        <f>A625+1</f>
        <v>26</v>
      </c>
      <c r="B626" s="878" t="s">
        <v>854</v>
      </c>
      <c r="C626" s="919" t="s">
        <v>855</v>
      </c>
      <c r="D626" s="975">
        <v>3.13</v>
      </c>
      <c r="E626" s="970"/>
      <c r="F626" s="975">
        <v>3.13</v>
      </c>
      <c r="G626" s="970"/>
      <c r="H626" s="1056"/>
      <c r="I626" s="1056"/>
      <c r="J626" s="1056"/>
      <c r="K626" s="1056"/>
      <c r="L626" s="1056"/>
      <c r="M626" s="1056"/>
      <c r="N626" s="1056"/>
      <c r="O626" s="1056"/>
      <c r="P626" s="1056"/>
      <c r="Q626" s="1056"/>
      <c r="R626" s="1056"/>
      <c r="S626" s="296"/>
      <c r="T626" s="294"/>
      <c r="U626" s="294"/>
      <c r="V626" s="294"/>
      <c r="W626" s="84"/>
      <c r="X626" s="85"/>
      <c r="Y626" s="295"/>
      <c r="Z626" s="1056"/>
      <c r="AA626" s="1056"/>
      <c r="AB626" s="1056"/>
      <c r="AC626" s="1056"/>
      <c r="AD626" s="1056"/>
      <c r="AE626" s="1056"/>
      <c r="AF626" s="1056"/>
      <c r="AG626" s="1056"/>
      <c r="AH626" s="1056"/>
      <c r="AI626" s="1056"/>
      <c r="AJ626" s="1056"/>
      <c r="AK626" s="1056"/>
      <c r="AL626" s="1056"/>
      <c r="AM626" s="1056"/>
      <c r="AN626" s="1056"/>
      <c r="AO626" s="1056"/>
      <c r="AP626" s="1056"/>
      <c r="AQ626" s="1056"/>
      <c r="AR626" s="1056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</row>
    <row r="627" spans="1:86" s="53" customFormat="1" ht="21.75" hidden="1" customHeight="1" x14ac:dyDescent="0.2">
      <c r="A627" s="983">
        <f>A626+1</f>
        <v>27</v>
      </c>
      <c r="B627" s="878" t="s">
        <v>856</v>
      </c>
      <c r="C627" s="919" t="s">
        <v>857</v>
      </c>
      <c r="D627" s="975">
        <v>0.64</v>
      </c>
      <c r="E627" s="970"/>
      <c r="F627" s="975">
        <v>0.64</v>
      </c>
      <c r="G627" s="970"/>
      <c r="H627" s="1056"/>
      <c r="I627" s="1056"/>
      <c r="J627" s="1056"/>
      <c r="K627" s="1056"/>
      <c r="L627" s="1056"/>
      <c r="M627" s="1056"/>
      <c r="N627" s="1056"/>
      <c r="O627" s="1056"/>
      <c r="P627" s="1056"/>
      <c r="Q627" s="1056"/>
      <c r="R627" s="1056"/>
      <c r="S627" s="296"/>
      <c r="T627" s="294"/>
      <c r="U627" s="294"/>
      <c r="V627" s="294"/>
      <c r="W627" s="84"/>
      <c r="X627" s="85"/>
      <c r="Y627" s="295"/>
      <c r="Z627" s="1056"/>
      <c r="AA627" s="1056"/>
      <c r="AB627" s="1056"/>
      <c r="AC627" s="1056"/>
      <c r="AD627" s="1056"/>
      <c r="AE627" s="1056"/>
      <c r="AF627" s="1056"/>
      <c r="AG627" s="1056"/>
      <c r="AH627" s="1056"/>
      <c r="AI627" s="1056"/>
      <c r="AJ627" s="1056"/>
      <c r="AK627" s="1056"/>
      <c r="AL627" s="1056"/>
      <c r="AM627" s="1056"/>
      <c r="AN627" s="1056"/>
      <c r="AO627" s="1056"/>
      <c r="AP627" s="1056"/>
      <c r="AQ627" s="1056"/>
      <c r="AR627" s="1056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</row>
    <row r="628" spans="1:86" s="53" customFormat="1" ht="21.75" hidden="1" customHeight="1" x14ac:dyDescent="0.2">
      <c r="A628" s="983">
        <f t="shared" ref="A628:A667" si="17">A627+1</f>
        <v>28</v>
      </c>
      <c r="B628" s="878" t="s">
        <v>858</v>
      </c>
      <c r="C628" s="919" t="s">
        <v>859</v>
      </c>
      <c r="D628" s="975">
        <v>1.3560000000000001</v>
      </c>
      <c r="E628" s="970"/>
      <c r="F628" s="975">
        <v>1.3560000000000001</v>
      </c>
      <c r="G628" s="970"/>
      <c r="H628" s="1056"/>
      <c r="I628" s="1056"/>
      <c r="J628" s="1056"/>
      <c r="K628" s="1056"/>
      <c r="L628" s="1056"/>
      <c r="M628" s="1056"/>
      <c r="N628" s="1056"/>
      <c r="O628" s="1056"/>
      <c r="P628" s="1056"/>
      <c r="Q628" s="1056"/>
      <c r="R628" s="1056"/>
      <c r="S628" s="296"/>
      <c r="T628" s="294"/>
      <c r="U628" s="294"/>
      <c r="V628" s="294"/>
      <c r="W628" s="84"/>
      <c r="X628" s="85"/>
      <c r="Y628" s="295"/>
      <c r="Z628" s="1056"/>
      <c r="AA628" s="1056"/>
      <c r="AB628" s="1056"/>
      <c r="AC628" s="1056"/>
      <c r="AD628" s="1056"/>
      <c r="AE628" s="1056"/>
      <c r="AF628" s="1056"/>
      <c r="AG628" s="1056"/>
      <c r="AH628" s="1056"/>
      <c r="AI628" s="1056"/>
      <c r="AJ628" s="1056"/>
      <c r="AK628" s="1056"/>
      <c r="AL628" s="1056"/>
      <c r="AM628" s="1056"/>
      <c r="AN628" s="1056"/>
      <c r="AO628" s="1056"/>
      <c r="AP628" s="1056"/>
      <c r="AQ628" s="1056"/>
      <c r="AR628" s="1056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</row>
    <row r="629" spans="1:86" s="53" customFormat="1" ht="21.75" hidden="1" customHeight="1" x14ac:dyDescent="0.2">
      <c r="A629" s="983">
        <f t="shared" si="17"/>
        <v>29</v>
      </c>
      <c r="B629" s="878" t="s">
        <v>860</v>
      </c>
      <c r="C629" s="919" t="s">
        <v>861</v>
      </c>
      <c r="D629" s="975">
        <v>1.0880000000000001</v>
      </c>
      <c r="E629" s="970"/>
      <c r="F629" s="975">
        <v>1.0880000000000001</v>
      </c>
      <c r="G629" s="970"/>
      <c r="H629" s="1056"/>
      <c r="I629" s="1056"/>
      <c r="J629" s="1056"/>
      <c r="K629" s="1056"/>
      <c r="L629" s="1056"/>
      <c r="M629" s="1056"/>
      <c r="N629" s="1056"/>
      <c r="O629" s="1056"/>
      <c r="P629" s="1056"/>
      <c r="Q629" s="1056"/>
      <c r="R629" s="1056"/>
      <c r="S629" s="296"/>
      <c r="T629" s="294"/>
      <c r="U629" s="294"/>
      <c r="V629" s="294"/>
      <c r="W629" s="84"/>
      <c r="X629" s="85"/>
      <c r="Y629" s="295"/>
      <c r="Z629" s="1056"/>
      <c r="AA629" s="1056"/>
      <c r="AB629" s="1056"/>
      <c r="AC629" s="1056"/>
      <c r="AD629" s="1056"/>
      <c r="AE629" s="1056"/>
      <c r="AF629" s="1056"/>
      <c r="AG629" s="1056"/>
      <c r="AH629" s="1056"/>
      <c r="AI629" s="1056"/>
      <c r="AJ629" s="1056"/>
      <c r="AK629" s="1056"/>
      <c r="AL629" s="1056"/>
      <c r="AM629" s="1056"/>
      <c r="AN629" s="1056"/>
      <c r="AO629" s="1056"/>
      <c r="AP629" s="1056"/>
      <c r="AQ629" s="1056"/>
      <c r="AR629" s="1056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</row>
    <row r="630" spans="1:86" s="53" customFormat="1" ht="21.75" hidden="1" customHeight="1" x14ac:dyDescent="0.2">
      <c r="A630" s="983">
        <f t="shared" si="17"/>
        <v>30</v>
      </c>
      <c r="B630" s="878" t="s">
        <v>862</v>
      </c>
      <c r="C630" s="919" t="s">
        <v>863</v>
      </c>
      <c r="D630" s="975">
        <v>0.97499999999999998</v>
      </c>
      <c r="E630" s="970"/>
      <c r="F630" s="975">
        <v>0.97499999999999998</v>
      </c>
      <c r="G630" s="970"/>
      <c r="H630" s="1056"/>
      <c r="I630" s="1056"/>
      <c r="J630" s="1056"/>
      <c r="K630" s="1056"/>
      <c r="L630" s="1056"/>
      <c r="M630" s="1056"/>
      <c r="N630" s="1056"/>
      <c r="O630" s="1056"/>
      <c r="P630" s="1056"/>
      <c r="Q630" s="1056"/>
      <c r="R630" s="1056"/>
      <c r="S630" s="296"/>
      <c r="T630" s="294"/>
      <c r="U630" s="294"/>
      <c r="V630" s="294"/>
      <c r="W630" s="84"/>
      <c r="X630" s="85"/>
      <c r="Y630" s="295"/>
      <c r="Z630" s="1056"/>
      <c r="AA630" s="1056"/>
      <c r="AB630" s="1056"/>
      <c r="AC630" s="1056"/>
      <c r="AD630" s="1056"/>
      <c r="AE630" s="1056"/>
      <c r="AF630" s="1056"/>
      <c r="AG630" s="1056"/>
      <c r="AH630" s="1056"/>
      <c r="AI630" s="1056"/>
      <c r="AJ630" s="1056"/>
      <c r="AK630" s="1056"/>
      <c r="AL630" s="1056"/>
      <c r="AM630" s="1056"/>
      <c r="AN630" s="1056"/>
      <c r="AO630" s="1056"/>
      <c r="AP630" s="1056"/>
      <c r="AQ630" s="1056"/>
      <c r="AR630" s="1056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</row>
    <row r="631" spans="1:86" s="53" customFormat="1" ht="21.75" hidden="1" customHeight="1" x14ac:dyDescent="0.2">
      <c r="A631" s="983">
        <f t="shared" si="17"/>
        <v>31</v>
      </c>
      <c r="B631" s="878" t="s">
        <v>864</v>
      </c>
      <c r="C631" s="919" t="s">
        <v>865</v>
      </c>
      <c r="D631" s="975">
        <v>0.39200000000000002</v>
      </c>
      <c r="E631" s="970"/>
      <c r="F631" s="975">
        <v>0.39200000000000002</v>
      </c>
      <c r="G631" s="970"/>
      <c r="H631" s="1056"/>
      <c r="I631" s="1056"/>
      <c r="J631" s="1056"/>
      <c r="K631" s="1056"/>
      <c r="L631" s="1056"/>
      <c r="M631" s="1056"/>
      <c r="N631" s="1056"/>
      <c r="O631" s="1056"/>
      <c r="P631" s="1056"/>
      <c r="Q631" s="1056"/>
      <c r="R631" s="1056"/>
      <c r="S631" s="296"/>
      <c r="T631" s="294"/>
      <c r="U631" s="294"/>
      <c r="V631" s="294"/>
      <c r="W631" s="84"/>
      <c r="X631" s="85"/>
      <c r="Y631" s="295"/>
      <c r="Z631" s="1056"/>
      <c r="AA631" s="1056"/>
      <c r="AB631" s="1056"/>
      <c r="AC631" s="1056"/>
      <c r="AD631" s="1056"/>
      <c r="AE631" s="1056"/>
      <c r="AF631" s="1056"/>
      <c r="AG631" s="1056"/>
      <c r="AH631" s="1056"/>
      <c r="AI631" s="1056"/>
      <c r="AJ631" s="1056"/>
      <c r="AK631" s="1056"/>
      <c r="AL631" s="1056"/>
      <c r="AM631" s="1056"/>
      <c r="AN631" s="1056"/>
      <c r="AO631" s="1056"/>
      <c r="AP631" s="1056"/>
      <c r="AQ631" s="1056"/>
      <c r="AR631" s="1056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</row>
    <row r="632" spans="1:86" s="53" customFormat="1" ht="21.75" hidden="1" customHeight="1" x14ac:dyDescent="0.2">
      <c r="A632" s="983">
        <f t="shared" si="17"/>
        <v>32</v>
      </c>
      <c r="B632" s="878" t="s">
        <v>866</v>
      </c>
      <c r="C632" s="919" t="s">
        <v>867</v>
      </c>
      <c r="D632" s="975">
        <v>0.51300000000000001</v>
      </c>
      <c r="E632" s="970"/>
      <c r="F632" s="975">
        <v>0.51300000000000001</v>
      </c>
      <c r="G632" s="970"/>
      <c r="H632" s="1056"/>
      <c r="I632" s="1056"/>
      <c r="J632" s="1056"/>
      <c r="K632" s="1056"/>
      <c r="L632" s="1056"/>
      <c r="M632" s="1056"/>
      <c r="N632" s="1056"/>
      <c r="O632" s="1056"/>
      <c r="P632" s="1056"/>
      <c r="Q632" s="1056"/>
      <c r="R632" s="1056"/>
      <c r="S632" s="296"/>
      <c r="T632" s="294"/>
      <c r="U632" s="294"/>
      <c r="V632" s="294"/>
      <c r="W632" s="84"/>
      <c r="X632" s="85"/>
      <c r="Y632" s="295"/>
      <c r="Z632" s="1056"/>
      <c r="AA632" s="1056"/>
      <c r="AB632" s="1056"/>
      <c r="AC632" s="1056"/>
      <c r="AD632" s="1056"/>
      <c r="AE632" s="1056"/>
      <c r="AF632" s="1056"/>
      <c r="AG632" s="1056"/>
      <c r="AH632" s="1056"/>
      <c r="AI632" s="1056"/>
      <c r="AJ632" s="1056"/>
      <c r="AK632" s="1056"/>
      <c r="AL632" s="1056"/>
      <c r="AM632" s="1056"/>
      <c r="AN632" s="1056"/>
      <c r="AO632" s="1056"/>
      <c r="AP632" s="1056"/>
      <c r="AQ632" s="1056"/>
      <c r="AR632" s="1056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</row>
    <row r="633" spans="1:86" s="53" customFormat="1" ht="21.75" hidden="1" customHeight="1" x14ac:dyDescent="0.2">
      <c r="A633" s="983">
        <f t="shared" si="17"/>
        <v>33</v>
      </c>
      <c r="B633" s="878" t="s">
        <v>868</v>
      </c>
      <c r="C633" s="919" t="s">
        <v>869</v>
      </c>
      <c r="D633" s="975">
        <v>0.56499999999999995</v>
      </c>
      <c r="E633" s="970"/>
      <c r="F633" s="975">
        <v>0.56499999999999995</v>
      </c>
      <c r="G633" s="970"/>
      <c r="H633" s="1056"/>
      <c r="I633" s="1056"/>
      <c r="J633" s="1056"/>
      <c r="K633" s="1056"/>
      <c r="L633" s="1056"/>
      <c r="M633" s="1056"/>
      <c r="N633" s="1056"/>
      <c r="O633" s="1056"/>
      <c r="P633" s="1056"/>
      <c r="Q633" s="1056"/>
      <c r="R633" s="1056"/>
      <c r="S633" s="296"/>
      <c r="T633" s="294"/>
      <c r="U633" s="294"/>
      <c r="V633" s="294"/>
      <c r="W633" s="84"/>
      <c r="X633" s="85"/>
      <c r="Y633" s="295"/>
      <c r="Z633" s="1056"/>
      <c r="AA633" s="1056"/>
      <c r="AB633" s="1056"/>
      <c r="AC633" s="1056"/>
      <c r="AD633" s="1056"/>
      <c r="AE633" s="1056"/>
      <c r="AF633" s="1056"/>
      <c r="AG633" s="1056"/>
      <c r="AH633" s="1056"/>
      <c r="AI633" s="1056"/>
      <c r="AJ633" s="1056"/>
      <c r="AK633" s="1056"/>
      <c r="AL633" s="1056"/>
      <c r="AM633" s="1056"/>
      <c r="AN633" s="1056"/>
      <c r="AO633" s="1056"/>
      <c r="AP633" s="1056"/>
      <c r="AQ633" s="1056"/>
      <c r="AR633" s="1056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</row>
    <row r="634" spans="1:86" s="53" customFormat="1" ht="21.75" hidden="1" customHeight="1" x14ac:dyDescent="0.2">
      <c r="A634" s="983">
        <f t="shared" si="17"/>
        <v>34</v>
      </c>
      <c r="B634" s="878" t="s">
        <v>870</v>
      </c>
      <c r="C634" s="919" t="s">
        <v>871</v>
      </c>
      <c r="D634" s="975">
        <v>1.034</v>
      </c>
      <c r="E634" s="970"/>
      <c r="F634" s="975">
        <v>1.034</v>
      </c>
      <c r="G634" s="970"/>
      <c r="H634" s="1056"/>
      <c r="I634" s="1056"/>
      <c r="J634" s="1056"/>
      <c r="K634" s="1056"/>
      <c r="L634" s="1056"/>
      <c r="M634" s="1056"/>
      <c r="N634" s="1056"/>
      <c r="O634" s="1056"/>
      <c r="P634" s="1056"/>
      <c r="Q634" s="1056"/>
      <c r="R634" s="1056"/>
      <c r="S634" s="296"/>
      <c r="T634" s="294"/>
      <c r="U634" s="294"/>
      <c r="V634" s="294"/>
      <c r="W634" s="84"/>
      <c r="X634" s="85"/>
      <c r="Y634" s="295"/>
      <c r="Z634" s="1056"/>
      <c r="AA634" s="1056"/>
      <c r="AB634" s="1056"/>
      <c r="AC634" s="1056"/>
      <c r="AD634" s="1056"/>
      <c r="AE634" s="1056"/>
      <c r="AF634" s="1056"/>
      <c r="AG634" s="1056"/>
      <c r="AH634" s="1056"/>
      <c r="AI634" s="1056"/>
      <c r="AJ634" s="1056"/>
      <c r="AK634" s="1056"/>
      <c r="AL634" s="1056"/>
      <c r="AM634" s="1056"/>
      <c r="AN634" s="1056"/>
      <c r="AO634" s="1056"/>
      <c r="AP634" s="1056"/>
      <c r="AQ634" s="1056"/>
      <c r="AR634" s="1056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</row>
    <row r="635" spans="1:86" s="53" customFormat="1" ht="21.75" hidden="1" customHeight="1" x14ac:dyDescent="0.2">
      <c r="A635" s="983">
        <f t="shared" si="17"/>
        <v>35</v>
      </c>
      <c r="B635" s="878" t="s">
        <v>872</v>
      </c>
      <c r="C635" s="919" t="s">
        <v>873</v>
      </c>
      <c r="D635" s="975">
        <v>0.93200000000000005</v>
      </c>
      <c r="E635" s="970"/>
      <c r="F635" s="975">
        <v>0.93200000000000005</v>
      </c>
      <c r="G635" s="970"/>
      <c r="H635" s="1056"/>
      <c r="I635" s="1056"/>
      <c r="J635" s="1056"/>
      <c r="K635" s="1056"/>
      <c r="L635" s="1056"/>
      <c r="M635" s="1056"/>
      <c r="N635" s="1056"/>
      <c r="O635" s="1056"/>
      <c r="P635" s="1056"/>
      <c r="Q635" s="1056"/>
      <c r="R635" s="1056"/>
      <c r="S635" s="296"/>
      <c r="T635" s="294"/>
      <c r="U635" s="294"/>
      <c r="V635" s="294"/>
      <c r="W635" s="84"/>
      <c r="X635" s="85"/>
      <c r="Y635" s="295"/>
      <c r="Z635" s="1056"/>
      <c r="AA635" s="1056"/>
      <c r="AB635" s="1056"/>
      <c r="AC635" s="1056"/>
      <c r="AD635" s="1056"/>
      <c r="AE635" s="1056"/>
      <c r="AF635" s="1056"/>
      <c r="AG635" s="1056"/>
      <c r="AH635" s="1056"/>
      <c r="AI635" s="1056"/>
      <c r="AJ635" s="1056"/>
      <c r="AK635" s="1056"/>
      <c r="AL635" s="1056"/>
      <c r="AM635" s="1056"/>
      <c r="AN635" s="1056"/>
      <c r="AO635" s="1056"/>
      <c r="AP635" s="1056"/>
      <c r="AQ635" s="1056"/>
      <c r="AR635" s="1056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</row>
    <row r="636" spans="1:86" s="53" customFormat="1" ht="21.75" hidden="1" customHeight="1" x14ac:dyDescent="0.2">
      <c r="A636" s="983">
        <f t="shared" si="17"/>
        <v>36</v>
      </c>
      <c r="B636" s="878" t="s">
        <v>874</v>
      </c>
      <c r="C636" s="919" t="s">
        <v>875</v>
      </c>
      <c r="D636" s="975">
        <v>1.113</v>
      </c>
      <c r="E636" s="970"/>
      <c r="F636" s="975">
        <v>1.113</v>
      </c>
      <c r="G636" s="970"/>
      <c r="H636" s="1056"/>
      <c r="I636" s="1056"/>
      <c r="J636" s="1056"/>
      <c r="K636" s="1056"/>
      <c r="L636" s="1056"/>
      <c r="M636" s="1056"/>
      <c r="N636" s="1056"/>
      <c r="O636" s="1056"/>
      <c r="P636" s="1056"/>
      <c r="Q636" s="1056"/>
      <c r="R636" s="1056"/>
      <c r="S636" s="296"/>
      <c r="T636" s="294"/>
      <c r="U636" s="294"/>
      <c r="V636" s="294"/>
      <c r="W636" s="84"/>
      <c r="X636" s="85"/>
      <c r="Y636" s="295"/>
      <c r="Z636" s="1056"/>
      <c r="AA636" s="1056"/>
      <c r="AB636" s="1056"/>
      <c r="AC636" s="1056"/>
      <c r="AD636" s="1056"/>
      <c r="AE636" s="1056"/>
      <c r="AF636" s="1056"/>
      <c r="AG636" s="1056"/>
      <c r="AH636" s="1056"/>
      <c r="AI636" s="1056"/>
      <c r="AJ636" s="1056"/>
      <c r="AK636" s="1056"/>
      <c r="AL636" s="1056"/>
      <c r="AM636" s="1056"/>
      <c r="AN636" s="1056"/>
      <c r="AO636" s="1056"/>
      <c r="AP636" s="1056"/>
      <c r="AQ636" s="1056"/>
      <c r="AR636" s="1056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</row>
    <row r="637" spans="1:86" s="53" customFormat="1" ht="21.75" hidden="1" customHeight="1" x14ac:dyDescent="0.2">
      <c r="A637" s="983">
        <f t="shared" si="17"/>
        <v>37</v>
      </c>
      <c r="B637" s="878" t="s">
        <v>876</v>
      </c>
      <c r="C637" s="919" t="s">
        <v>877</v>
      </c>
      <c r="D637" s="975">
        <v>1.2</v>
      </c>
      <c r="E637" s="970"/>
      <c r="F637" s="975">
        <v>1.2</v>
      </c>
      <c r="G637" s="970"/>
      <c r="H637" s="1056"/>
      <c r="I637" s="1056"/>
      <c r="J637" s="1056"/>
      <c r="K637" s="1056"/>
      <c r="L637" s="1056"/>
      <c r="M637" s="1056"/>
      <c r="N637" s="1056"/>
      <c r="O637" s="1056"/>
      <c r="P637" s="1056"/>
      <c r="Q637" s="1056"/>
      <c r="R637" s="1056"/>
      <c r="S637" s="296"/>
      <c r="T637" s="294"/>
      <c r="U637" s="294"/>
      <c r="V637" s="294"/>
      <c r="W637" s="84"/>
      <c r="X637" s="85"/>
      <c r="Y637" s="295"/>
      <c r="Z637" s="1056"/>
      <c r="AA637" s="1056"/>
      <c r="AB637" s="1056"/>
      <c r="AC637" s="1056"/>
      <c r="AD637" s="1056"/>
      <c r="AE637" s="1056"/>
      <c r="AF637" s="1056"/>
      <c r="AG637" s="1056"/>
      <c r="AH637" s="1056"/>
      <c r="AI637" s="1056"/>
      <c r="AJ637" s="1056"/>
      <c r="AK637" s="1056"/>
      <c r="AL637" s="1056"/>
      <c r="AM637" s="1056"/>
      <c r="AN637" s="1056"/>
      <c r="AO637" s="1056"/>
      <c r="AP637" s="1056"/>
      <c r="AQ637" s="1056"/>
      <c r="AR637" s="1056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</row>
    <row r="638" spans="1:86" s="53" customFormat="1" ht="21.75" hidden="1" customHeight="1" x14ac:dyDescent="0.2">
      <c r="A638" s="983">
        <f t="shared" si="17"/>
        <v>38</v>
      </c>
      <c r="B638" s="878" t="s">
        <v>878</v>
      </c>
      <c r="C638" s="919" t="s">
        <v>879</v>
      </c>
      <c r="D638" s="975">
        <v>0.35</v>
      </c>
      <c r="E638" s="970"/>
      <c r="F638" s="975">
        <v>0.35</v>
      </c>
      <c r="G638" s="970"/>
      <c r="H638" s="1056"/>
      <c r="I638" s="1056"/>
      <c r="J638" s="1056"/>
      <c r="K638" s="1056"/>
      <c r="L638" s="1056"/>
      <c r="M638" s="1056"/>
      <c r="N638" s="1056"/>
      <c r="O638" s="1056"/>
      <c r="P638" s="1056"/>
      <c r="Q638" s="1056"/>
      <c r="R638" s="1056"/>
      <c r="S638" s="296"/>
      <c r="T638" s="294"/>
      <c r="U638" s="294"/>
      <c r="V638" s="294"/>
      <c r="W638" s="84"/>
      <c r="X638" s="85"/>
      <c r="Y638" s="295"/>
      <c r="Z638" s="1056"/>
      <c r="AA638" s="1056"/>
      <c r="AB638" s="1056"/>
      <c r="AC638" s="1056"/>
      <c r="AD638" s="1056"/>
      <c r="AE638" s="1056"/>
      <c r="AF638" s="1056"/>
      <c r="AG638" s="1056"/>
      <c r="AH638" s="1056"/>
      <c r="AI638" s="1056"/>
      <c r="AJ638" s="1056"/>
      <c r="AK638" s="1056"/>
      <c r="AL638" s="1056"/>
      <c r="AM638" s="1056"/>
      <c r="AN638" s="1056"/>
      <c r="AO638" s="1056"/>
      <c r="AP638" s="1056"/>
      <c r="AQ638" s="1056"/>
      <c r="AR638" s="1056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</row>
    <row r="639" spans="1:86" s="53" customFormat="1" ht="21.75" hidden="1" customHeight="1" x14ac:dyDescent="0.2">
      <c r="A639" s="983">
        <f t="shared" si="17"/>
        <v>39</v>
      </c>
      <c r="B639" s="878" t="s">
        <v>880</v>
      </c>
      <c r="C639" s="919" t="s">
        <v>881</v>
      </c>
      <c r="D639" s="975">
        <v>0.22</v>
      </c>
      <c r="E639" s="970"/>
      <c r="F639" s="975">
        <v>0.22</v>
      </c>
      <c r="G639" s="970"/>
      <c r="H639" s="1056"/>
      <c r="I639" s="1056"/>
      <c r="J639" s="1056"/>
      <c r="K639" s="1056"/>
      <c r="L639" s="1056"/>
      <c r="M639" s="1056"/>
      <c r="N639" s="1056"/>
      <c r="O639" s="1056"/>
      <c r="P639" s="1056"/>
      <c r="Q639" s="1056"/>
      <c r="R639" s="1056"/>
      <c r="S639" s="296"/>
      <c r="T639" s="294"/>
      <c r="U639" s="294"/>
      <c r="V639" s="294"/>
      <c r="W639" s="84"/>
      <c r="X639" s="85"/>
      <c r="Y639" s="295"/>
      <c r="Z639" s="1056"/>
      <c r="AA639" s="1056"/>
      <c r="AB639" s="1056"/>
      <c r="AC639" s="1056"/>
      <c r="AD639" s="1056"/>
      <c r="AE639" s="1056"/>
      <c r="AF639" s="1056"/>
      <c r="AG639" s="1056"/>
      <c r="AH639" s="1056"/>
      <c r="AI639" s="1056"/>
      <c r="AJ639" s="1056"/>
      <c r="AK639" s="1056"/>
      <c r="AL639" s="1056"/>
      <c r="AM639" s="1056"/>
      <c r="AN639" s="1056"/>
      <c r="AO639" s="1056"/>
      <c r="AP639" s="1056"/>
      <c r="AQ639" s="1056"/>
      <c r="AR639" s="1056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</row>
    <row r="640" spans="1:86" s="53" customFormat="1" ht="21.75" hidden="1" customHeight="1" x14ac:dyDescent="0.2">
      <c r="A640" s="983">
        <f t="shared" si="17"/>
        <v>40</v>
      </c>
      <c r="B640" s="878" t="s">
        <v>882</v>
      </c>
      <c r="C640" s="919" t="s">
        <v>883</v>
      </c>
      <c r="D640" s="975">
        <v>0.22</v>
      </c>
      <c r="E640" s="970"/>
      <c r="F640" s="975">
        <v>0.22</v>
      </c>
      <c r="G640" s="970"/>
      <c r="H640" s="1056"/>
      <c r="I640" s="1056"/>
      <c r="J640" s="1056"/>
      <c r="K640" s="1056"/>
      <c r="L640" s="1056"/>
      <c r="M640" s="1056"/>
      <c r="N640" s="1056"/>
      <c r="O640" s="1056"/>
      <c r="P640" s="1056"/>
      <c r="Q640" s="1056"/>
      <c r="R640" s="1056"/>
      <c r="S640" s="296"/>
      <c r="T640" s="294"/>
      <c r="U640" s="294"/>
      <c r="V640" s="294"/>
      <c r="W640" s="84"/>
      <c r="X640" s="85"/>
      <c r="Y640" s="295"/>
      <c r="Z640" s="1056"/>
      <c r="AA640" s="1056"/>
      <c r="AB640" s="1056"/>
      <c r="AC640" s="1056"/>
      <c r="AD640" s="1056"/>
      <c r="AE640" s="1056"/>
      <c r="AF640" s="1056"/>
      <c r="AG640" s="1056"/>
      <c r="AH640" s="1056"/>
      <c r="AI640" s="1056"/>
      <c r="AJ640" s="1056"/>
      <c r="AK640" s="1056"/>
      <c r="AL640" s="1056"/>
      <c r="AM640" s="1056"/>
      <c r="AN640" s="1056"/>
      <c r="AO640" s="1056"/>
      <c r="AP640" s="1056"/>
      <c r="AQ640" s="1056"/>
      <c r="AR640" s="1056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</row>
    <row r="641" spans="1:86" s="53" customFormat="1" ht="21.75" hidden="1" customHeight="1" x14ac:dyDescent="0.2">
      <c r="A641" s="983">
        <f t="shared" si="17"/>
        <v>41</v>
      </c>
      <c r="B641" s="878" t="s">
        <v>884</v>
      </c>
      <c r="C641" s="919" t="s">
        <v>885</v>
      </c>
      <c r="D641" s="975">
        <v>0.22</v>
      </c>
      <c r="E641" s="970"/>
      <c r="F641" s="975">
        <v>0.22</v>
      </c>
      <c r="G641" s="970"/>
      <c r="H641" s="1056"/>
      <c r="I641" s="1056"/>
      <c r="J641" s="1056"/>
      <c r="K641" s="1056"/>
      <c r="L641" s="1056"/>
      <c r="M641" s="1056"/>
      <c r="N641" s="1056"/>
      <c r="O641" s="1056"/>
      <c r="P641" s="1056"/>
      <c r="Q641" s="1056"/>
      <c r="R641" s="1056"/>
      <c r="S641" s="296"/>
      <c r="T641" s="294"/>
      <c r="U641" s="294"/>
      <c r="V641" s="294"/>
      <c r="W641" s="84"/>
      <c r="X641" s="85"/>
      <c r="Y641" s="295"/>
      <c r="Z641" s="1056"/>
      <c r="AA641" s="1056"/>
      <c r="AB641" s="1056"/>
      <c r="AC641" s="1056"/>
      <c r="AD641" s="1056"/>
      <c r="AE641" s="1056"/>
      <c r="AF641" s="1056"/>
      <c r="AG641" s="1056"/>
      <c r="AH641" s="1056"/>
      <c r="AI641" s="1056"/>
      <c r="AJ641" s="1056"/>
      <c r="AK641" s="1056"/>
      <c r="AL641" s="1056"/>
      <c r="AM641" s="1056"/>
      <c r="AN641" s="1056"/>
      <c r="AO641" s="1056"/>
      <c r="AP641" s="1056"/>
      <c r="AQ641" s="1056"/>
      <c r="AR641" s="1056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</row>
    <row r="642" spans="1:86" s="53" customFormat="1" ht="21.75" hidden="1" customHeight="1" x14ac:dyDescent="0.2">
      <c r="A642" s="983">
        <f t="shared" si="17"/>
        <v>42</v>
      </c>
      <c r="B642" s="878" t="s">
        <v>886</v>
      </c>
      <c r="C642" s="919" t="s">
        <v>887</v>
      </c>
      <c r="D642" s="975">
        <v>0.23</v>
      </c>
      <c r="E642" s="970"/>
      <c r="F642" s="975">
        <v>0.23</v>
      </c>
      <c r="G642" s="970"/>
      <c r="H642" s="1056"/>
      <c r="I642" s="1056"/>
      <c r="J642" s="1056"/>
      <c r="K642" s="1056"/>
      <c r="L642" s="1056"/>
      <c r="M642" s="1056"/>
      <c r="N642" s="1056"/>
      <c r="O642" s="1056"/>
      <c r="P642" s="1056"/>
      <c r="Q642" s="1056"/>
      <c r="R642" s="1056"/>
      <c r="S642" s="296"/>
      <c r="T642" s="294"/>
      <c r="U642" s="294"/>
      <c r="V642" s="294"/>
      <c r="W642" s="84"/>
      <c r="X642" s="85"/>
      <c r="Y642" s="295"/>
      <c r="Z642" s="1056"/>
      <c r="AA642" s="1056"/>
      <c r="AB642" s="1056"/>
      <c r="AC642" s="1056"/>
      <c r="AD642" s="1056"/>
      <c r="AE642" s="1056"/>
      <c r="AF642" s="1056"/>
      <c r="AG642" s="1056"/>
      <c r="AH642" s="1056"/>
      <c r="AI642" s="1056"/>
      <c r="AJ642" s="1056"/>
      <c r="AK642" s="1056"/>
      <c r="AL642" s="1056"/>
      <c r="AM642" s="1056"/>
      <c r="AN642" s="1056"/>
      <c r="AO642" s="1056"/>
      <c r="AP642" s="1056"/>
      <c r="AQ642" s="1056"/>
      <c r="AR642" s="1056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</row>
    <row r="643" spans="1:86" s="53" customFormat="1" ht="21.75" hidden="1" customHeight="1" x14ac:dyDescent="0.2">
      <c r="A643" s="983">
        <f t="shared" si="17"/>
        <v>43</v>
      </c>
      <c r="B643" s="878" t="s">
        <v>888</v>
      </c>
      <c r="C643" s="919" t="s">
        <v>889</v>
      </c>
      <c r="D643" s="975">
        <v>0.45</v>
      </c>
      <c r="E643" s="970"/>
      <c r="F643" s="975">
        <v>0.45</v>
      </c>
      <c r="G643" s="970"/>
      <c r="H643" s="1056"/>
      <c r="I643" s="1056"/>
      <c r="J643" s="1056"/>
      <c r="K643" s="1056"/>
      <c r="L643" s="1056"/>
      <c r="M643" s="1056"/>
      <c r="N643" s="1056"/>
      <c r="O643" s="1056"/>
      <c r="P643" s="1056"/>
      <c r="Q643" s="1056"/>
      <c r="R643" s="1056"/>
      <c r="S643" s="296"/>
      <c r="T643" s="294"/>
      <c r="U643" s="294"/>
      <c r="V643" s="294"/>
      <c r="W643" s="84"/>
      <c r="X643" s="85"/>
      <c r="Y643" s="295"/>
      <c r="Z643" s="1056"/>
      <c r="AA643" s="1056"/>
      <c r="AB643" s="1056"/>
      <c r="AC643" s="1056"/>
      <c r="AD643" s="1056"/>
      <c r="AE643" s="1056"/>
      <c r="AF643" s="1056"/>
      <c r="AG643" s="1056"/>
      <c r="AH643" s="1056"/>
      <c r="AI643" s="1056"/>
      <c r="AJ643" s="1056"/>
      <c r="AK643" s="1056"/>
      <c r="AL643" s="1056"/>
      <c r="AM643" s="1056"/>
      <c r="AN643" s="1056"/>
      <c r="AO643" s="1056"/>
      <c r="AP643" s="1056"/>
      <c r="AQ643" s="1056"/>
      <c r="AR643" s="1056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</row>
    <row r="644" spans="1:86" s="53" customFormat="1" ht="21.75" hidden="1" customHeight="1" x14ac:dyDescent="0.2">
      <c r="A644" s="983">
        <f t="shared" si="17"/>
        <v>44</v>
      </c>
      <c r="B644" s="878" t="s">
        <v>890</v>
      </c>
      <c r="C644" s="919" t="s">
        <v>891</v>
      </c>
      <c r="D644" s="975">
        <v>0.19500000000000001</v>
      </c>
      <c r="E644" s="970"/>
      <c r="F644" s="975">
        <v>0.19500000000000001</v>
      </c>
      <c r="G644" s="970"/>
      <c r="H644" s="1056"/>
      <c r="I644" s="1056"/>
      <c r="J644" s="1056"/>
      <c r="K644" s="1056"/>
      <c r="L644" s="1056"/>
      <c r="M644" s="1056"/>
      <c r="N644" s="1056"/>
      <c r="O644" s="1056"/>
      <c r="P644" s="1056"/>
      <c r="Q644" s="1056"/>
      <c r="R644" s="1056"/>
      <c r="S644" s="296"/>
      <c r="T644" s="294"/>
      <c r="U644" s="294"/>
      <c r="V644" s="294"/>
      <c r="W644" s="84"/>
      <c r="X644" s="85"/>
      <c r="Y644" s="295"/>
      <c r="Z644" s="1056"/>
      <c r="AA644" s="1056"/>
      <c r="AB644" s="1056"/>
      <c r="AC644" s="1056"/>
      <c r="AD644" s="1056"/>
      <c r="AE644" s="1056"/>
      <c r="AF644" s="1056"/>
      <c r="AG644" s="1056"/>
      <c r="AH644" s="1056"/>
      <c r="AI644" s="1056"/>
      <c r="AJ644" s="1056"/>
      <c r="AK644" s="1056"/>
      <c r="AL644" s="1056"/>
      <c r="AM644" s="1056"/>
      <c r="AN644" s="1056"/>
      <c r="AO644" s="1056"/>
      <c r="AP644" s="1056"/>
      <c r="AQ644" s="1056"/>
      <c r="AR644" s="1056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</row>
    <row r="645" spans="1:86" s="53" customFormat="1" ht="21.75" hidden="1" customHeight="1" x14ac:dyDescent="0.2">
      <c r="A645" s="983">
        <f t="shared" si="17"/>
        <v>45</v>
      </c>
      <c r="B645" s="878" t="s">
        <v>892</v>
      </c>
      <c r="C645" s="919" t="s">
        <v>893</v>
      </c>
      <c r="D645" s="975">
        <v>1.478</v>
      </c>
      <c r="E645" s="970"/>
      <c r="F645" s="975">
        <v>1.478</v>
      </c>
      <c r="G645" s="970"/>
      <c r="H645" s="1056"/>
      <c r="I645" s="1056"/>
      <c r="J645" s="1056"/>
      <c r="K645" s="1056"/>
      <c r="L645" s="1056"/>
      <c r="M645" s="1056"/>
      <c r="N645" s="1056"/>
      <c r="O645" s="1056"/>
      <c r="P645" s="1056"/>
      <c r="Q645" s="1056"/>
      <c r="R645" s="1056"/>
      <c r="S645" s="296"/>
      <c r="T645" s="294"/>
      <c r="U645" s="294"/>
      <c r="V645" s="294"/>
      <c r="W645" s="84"/>
      <c r="X645" s="85"/>
      <c r="Y645" s="295"/>
      <c r="Z645" s="1056"/>
      <c r="AA645" s="1056"/>
      <c r="AB645" s="1056"/>
      <c r="AC645" s="1056"/>
      <c r="AD645" s="1056"/>
      <c r="AE645" s="1056"/>
      <c r="AF645" s="1056"/>
      <c r="AG645" s="1056"/>
      <c r="AH645" s="1056"/>
      <c r="AI645" s="1056"/>
      <c r="AJ645" s="1056"/>
      <c r="AK645" s="1056"/>
      <c r="AL645" s="1056"/>
      <c r="AM645" s="1056"/>
      <c r="AN645" s="1056"/>
      <c r="AO645" s="1056"/>
      <c r="AP645" s="1056"/>
      <c r="AQ645" s="1056"/>
      <c r="AR645" s="1056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</row>
    <row r="646" spans="1:86" s="53" customFormat="1" ht="21.75" hidden="1" customHeight="1" x14ac:dyDescent="0.2">
      <c r="A646" s="983">
        <f t="shared" si="17"/>
        <v>46</v>
      </c>
      <c r="B646" s="878" t="s">
        <v>894</v>
      </c>
      <c r="C646" s="919" t="s">
        <v>895</v>
      </c>
      <c r="D646" s="975">
        <v>0.88100000000000001</v>
      </c>
      <c r="E646" s="970"/>
      <c r="F646" s="975">
        <v>0.88100000000000001</v>
      </c>
      <c r="G646" s="970"/>
      <c r="H646" s="1056"/>
      <c r="I646" s="1056"/>
      <c r="J646" s="1056"/>
      <c r="K646" s="1056"/>
      <c r="L646" s="1056"/>
      <c r="M646" s="1056"/>
      <c r="N646" s="1056"/>
      <c r="O646" s="1056"/>
      <c r="P646" s="1056"/>
      <c r="Q646" s="1056"/>
      <c r="R646" s="1056"/>
      <c r="S646" s="296"/>
      <c r="T646" s="294"/>
      <c r="U646" s="294"/>
      <c r="V646" s="294"/>
      <c r="W646" s="84"/>
      <c r="X646" s="85"/>
      <c r="Y646" s="295"/>
      <c r="Z646" s="1056"/>
      <c r="AA646" s="1056"/>
      <c r="AB646" s="1056"/>
      <c r="AC646" s="1056"/>
      <c r="AD646" s="1056"/>
      <c r="AE646" s="1056"/>
      <c r="AF646" s="1056"/>
      <c r="AG646" s="1056"/>
      <c r="AH646" s="1056"/>
      <c r="AI646" s="1056"/>
      <c r="AJ646" s="1056"/>
      <c r="AK646" s="1056"/>
      <c r="AL646" s="1056"/>
      <c r="AM646" s="1056"/>
      <c r="AN646" s="1056"/>
      <c r="AO646" s="1056"/>
      <c r="AP646" s="1056"/>
      <c r="AQ646" s="1056"/>
      <c r="AR646" s="1056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</row>
    <row r="647" spans="1:86" s="53" customFormat="1" ht="21.75" hidden="1" customHeight="1" x14ac:dyDescent="0.2">
      <c r="A647" s="983">
        <f t="shared" si="17"/>
        <v>47</v>
      </c>
      <c r="B647" s="878" t="s">
        <v>896</v>
      </c>
      <c r="C647" s="919" t="s">
        <v>897</v>
      </c>
      <c r="D647" s="975">
        <v>1.0089999999999999</v>
      </c>
      <c r="E647" s="970"/>
      <c r="F647" s="975">
        <v>1.0089999999999999</v>
      </c>
      <c r="G647" s="970"/>
      <c r="H647" s="1056"/>
      <c r="I647" s="1056"/>
      <c r="J647" s="1056"/>
      <c r="K647" s="1056"/>
      <c r="L647" s="1056"/>
      <c r="M647" s="1056"/>
      <c r="N647" s="1056"/>
      <c r="O647" s="1056"/>
      <c r="P647" s="1056"/>
      <c r="Q647" s="1056"/>
      <c r="R647" s="1056"/>
      <c r="S647" s="296"/>
      <c r="T647" s="294"/>
      <c r="U647" s="294"/>
      <c r="V647" s="294"/>
      <c r="W647" s="84"/>
      <c r="X647" s="85"/>
      <c r="Y647" s="295"/>
      <c r="Z647" s="1056"/>
      <c r="AA647" s="1056"/>
      <c r="AB647" s="1056"/>
      <c r="AC647" s="1056"/>
      <c r="AD647" s="1056"/>
      <c r="AE647" s="1056"/>
      <c r="AF647" s="1056"/>
      <c r="AG647" s="1056"/>
      <c r="AH647" s="1056"/>
      <c r="AI647" s="1056"/>
      <c r="AJ647" s="1056"/>
      <c r="AK647" s="1056"/>
      <c r="AL647" s="1056"/>
      <c r="AM647" s="1056"/>
      <c r="AN647" s="1056"/>
      <c r="AO647" s="1056"/>
      <c r="AP647" s="1056"/>
      <c r="AQ647" s="1056"/>
      <c r="AR647" s="1056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</row>
    <row r="648" spans="1:86" s="53" customFormat="1" ht="21.75" hidden="1" customHeight="1" x14ac:dyDescent="0.2">
      <c r="A648" s="983">
        <f t="shared" si="17"/>
        <v>48</v>
      </c>
      <c r="B648" s="878" t="s">
        <v>898</v>
      </c>
      <c r="C648" s="919" t="s">
        <v>899</v>
      </c>
      <c r="D648" s="975">
        <v>0.9</v>
      </c>
      <c r="E648" s="970"/>
      <c r="F648" s="975">
        <v>0.9</v>
      </c>
      <c r="G648" s="970"/>
      <c r="H648" s="1056"/>
      <c r="I648" s="1056"/>
      <c r="J648" s="1056"/>
      <c r="K648" s="1056"/>
      <c r="L648" s="1056"/>
      <c r="M648" s="1056"/>
      <c r="N648" s="1056"/>
      <c r="O648" s="1056"/>
      <c r="P648" s="1056"/>
      <c r="Q648" s="1056"/>
      <c r="R648" s="1056"/>
      <c r="S648" s="296"/>
      <c r="T648" s="294"/>
      <c r="U648" s="294"/>
      <c r="V648" s="294"/>
      <c r="W648" s="84"/>
      <c r="X648" s="85"/>
      <c r="Y648" s="295"/>
      <c r="Z648" s="1056"/>
      <c r="AA648" s="1056"/>
      <c r="AB648" s="1056"/>
      <c r="AC648" s="1056"/>
      <c r="AD648" s="1056"/>
      <c r="AE648" s="1056"/>
      <c r="AF648" s="1056"/>
      <c r="AG648" s="1056"/>
      <c r="AH648" s="1056"/>
      <c r="AI648" s="1056"/>
      <c r="AJ648" s="1056"/>
      <c r="AK648" s="1056"/>
      <c r="AL648" s="1056"/>
      <c r="AM648" s="1056"/>
      <c r="AN648" s="1056"/>
      <c r="AO648" s="1056"/>
      <c r="AP648" s="1056"/>
      <c r="AQ648" s="1056"/>
      <c r="AR648" s="1056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</row>
    <row r="649" spans="1:86" s="53" customFormat="1" ht="21.75" hidden="1" customHeight="1" x14ac:dyDescent="0.2">
      <c r="A649" s="983">
        <f t="shared" si="17"/>
        <v>49</v>
      </c>
      <c r="B649" s="878" t="s">
        <v>900</v>
      </c>
      <c r="C649" s="919" t="s">
        <v>901</v>
      </c>
      <c r="D649" s="975">
        <v>0.73299999999999998</v>
      </c>
      <c r="E649" s="970"/>
      <c r="F649" s="975">
        <v>0.73299999999999998</v>
      </c>
      <c r="G649" s="970"/>
      <c r="H649" s="1056"/>
      <c r="I649" s="1056"/>
      <c r="J649" s="1056"/>
      <c r="K649" s="1056"/>
      <c r="L649" s="1056"/>
      <c r="M649" s="1056"/>
      <c r="N649" s="1056"/>
      <c r="O649" s="1056"/>
      <c r="P649" s="1056"/>
      <c r="Q649" s="1056"/>
      <c r="R649" s="1056"/>
      <c r="S649" s="296"/>
      <c r="T649" s="294"/>
      <c r="U649" s="294"/>
      <c r="V649" s="294"/>
      <c r="W649" s="84"/>
      <c r="X649" s="85"/>
      <c r="Y649" s="295"/>
      <c r="Z649" s="1056"/>
      <c r="AA649" s="1056"/>
      <c r="AB649" s="1056"/>
      <c r="AC649" s="1056"/>
      <c r="AD649" s="1056"/>
      <c r="AE649" s="1056"/>
      <c r="AF649" s="1056"/>
      <c r="AG649" s="1056"/>
      <c r="AH649" s="1056"/>
      <c r="AI649" s="1056"/>
      <c r="AJ649" s="1056"/>
      <c r="AK649" s="1056"/>
      <c r="AL649" s="1056"/>
      <c r="AM649" s="1056"/>
      <c r="AN649" s="1056"/>
      <c r="AO649" s="1056"/>
      <c r="AP649" s="1056"/>
      <c r="AQ649" s="1056"/>
      <c r="AR649" s="1056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</row>
    <row r="650" spans="1:86" s="53" customFormat="1" ht="21.75" hidden="1" customHeight="1" x14ac:dyDescent="0.2">
      <c r="A650" s="983">
        <f t="shared" si="17"/>
        <v>50</v>
      </c>
      <c r="B650" s="878" t="s">
        <v>902</v>
      </c>
      <c r="C650" s="919" t="s">
        <v>903</v>
      </c>
      <c r="D650" s="975">
        <v>0.18</v>
      </c>
      <c r="E650" s="970"/>
      <c r="F650" s="975">
        <v>0.18</v>
      </c>
      <c r="G650" s="970"/>
      <c r="H650" s="1056"/>
      <c r="I650" s="1056"/>
      <c r="J650" s="1056"/>
      <c r="K650" s="1056"/>
      <c r="L650" s="1056"/>
      <c r="M650" s="1056"/>
      <c r="N650" s="1056"/>
      <c r="O650" s="1056"/>
      <c r="P650" s="1056"/>
      <c r="Q650" s="1056"/>
      <c r="R650" s="1056"/>
      <c r="S650" s="296"/>
      <c r="T650" s="294"/>
      <c r="U650" s="294"/>
      <c r="V650" s="294"/>
      <c r="W650" s="84"/>
      <c r="X650" s="85"/>
      <c r="Y650" s="295"/>
      <c r="Z650" s="1056"/>
      <c r="AA650" s="1056"/>
      <c r="AB650" s="1056"/>
      <c r="AC650" s="1056"/>
      <c r="AD650" s="1056"/>
      <c r="AE650" s="1056"/>
      <c r="AF650" s="1056"/>
      <c r="AG650" s="1056"/>
      <c r="AH650" s="1056"/>
      <c r="AI650" s="1056"/>
      <c r="AJ650" s="1056"/>
      <c r="AK650" s="1056"/>
      <c r="AL650" s="1056"/>
      <c r="AM650" s="1056"/>
      <c r="AN650" s="1056"/>
      <c r="AO650" s="1056"/>
      <c r="AP650" s="1056"/>
      <c r="AQ650" s="1056"/>
      <c r="AR650" s="1056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</row>
    <row r="651" spans="1:86" s="53" customFormat="1" ht="21.75" hidden="1" customHeight="1" x14ac:dyDescent="0.2">
      <c r="A651" s="983">
        <f t="shared" si="17"/>
        <v>51</v>
      </c>
      <c r="B651" s="878" t="s">
        <v>904</v>
      </c>
      <c r="C651" s="919" t="s">
        <v>905</v>
      </c>
      <c r="D651" s="975">
        <v>0.24299999999999999</v>
      </c>
      <c r="E651" s="970"/>
      <c r="F651" s="975">
        <v>0.24299999999999999</v>
      </c>
      <c r="G651" s="970"/>
      <c r="H651" s="1056"/>
      <c r="I651" s="1056"/>
      <c r="J651" s="1056"/>
      <c r="K651" s="1056"/>
      <c r="L651" s="1056"/>
      <c r="M651" s="1056"/>
      <c r="N651" s="1056"/>
      <c r="O651" s="1056"/>
      <c r="P651" s="1056"/>
      <c r="Q651" s="1056"/>
      <c r="R651" s="1056"/>
      <c r="S651" s="296"/>
      <c r="T651" s="294"/>
      <c r="U651" s="294"/>
      <c r="V651" s="294"/>
      <c r="W651" s="84"/>
      <c r="X651" s="85"/>
      <c r="Y651" s="295"/>
      <c r="Z651" s="1056"/>
      <c r="AA651" s="1056"/>
      <c r="AB651" s="1056"/>
      <c r="AC651" s="1056"/>
      <c r="AD651" s="1056"/>
      <c r="AE651" s="1056"/>
      <c r="AF651" s="1056"/>
      <c r="AG651" s="1056"/>
      <c r="AH651" s="1056"/>
      <c r="AI651" s="1056"/>
      <c r="AJ651" s="1056"/>
      <c r="AK651" s="1056"/>
      <c r="AL651" s="1056"/>
      <c r="AM651" s="1056"/>
      <c r="AN651" s="1056"/>
      <c r="AO651" s="1056"/>
      <c r="AP651" s="1056"/>
      <c r="AQ651" s="1056"/>
      <c r="AR651" s="1056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</row>
    <row r="652" spans="1:86" s="53" customFormat="1" ht="21.75" hidden="1" customHeight="1" x14ac:dyDescent="0.2">
      <c r="A652" s="983">
        <f t="shared" si="17"/>
        <v>52</v>
      </c>
      <c r="B652" s="878" t="s">
        <v>906</v>
      </c>
      <c r="C652" s="919" t="s">
        <v>907</v>
      </c>
      <c r="D652" s="975">
        <v>0.154</v>
      </c>
      <c r="E652" s="970"/>
      <c r="F652" s="975">
        <v>0.154</v>
      </c>
      <c r="G652" s="970"/>
      <c r="H652" s="1056"/>
      <c r="I652" s="1056"/>
      <c r="J652" s="1056"/>
      <c r="K652" s="1056"/>
      <c r="L652" s="1056"/>
      <c r="M652" s="1056"/>
      <c r="N652" s="1056"/>
      <c r="O652" s="1056"/>
      <c r="P652" s="1056"/>
      <c r="Q652" s="1056"/>
      <c r="R652" s="1056"/>
      <c r="S652" s="296"/>
      <c r="T652" s="294"/>
      <c r="U652" s="294"/>
      <c r="V652" s="294"/>
      <c r="W652" s="84"/>
      <c r="X652" s="85"/>
      <c r="Y652" s="295"/>
      <c r="Z652" s="1056"/>
      <c r="AA652" s="1056"/>
      <c r="AB652" s="1056"/>
      <c r="AC652" s="1056"/>
      <c r="AD652" s="1056"/>
      <c r="AE652" s="1056"/>
      <c r="AF652" s="1056"/>
      <c r="AG652" s="1056"/>
      <c r="AH652" s="1056"/>
      <c r="AI652" s="1056"/>
      <c r="AJ652" s="1056"/>
      <c r="AK652" s="1056"/>
      <c r="AL652" s="1056"/>
      <c r="AM652" s="1056"/>
      <c r="AN652" s="1056"/>
      <c r="AO652" s="1056"/>
      <c r="AP652" s="1056"/>
      <c r="AQ652" s="1056"/>
      <c r="AR652" s="1056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</row>
    <row r="653" spans="1:86" s="53" customFormat="1" ht="21.75" hidden="1" customHeight="1" x14ac:dyDescent="0.2">
      <c r="A653" s="983">
        <f t="shared" si="17"/>
        <v>53</v>
      </c>
      <c r="B653" s="878" t="s">
        <v>908</v>
      </c>
      <c r="C653" s="919" t="s">
        <v>909</v>
      </c>
      <c r="D653" s="975">
        <v>0.504</v>
      </c>
      <c r="E653" s="970"/>
      <c r="F653" s="975">
        <v>0.504</v>
      </c>
      <c r="G653" s="970"/>
      <c r="H653" s="1056"/>
      <c r="I653" s="1056"/>
      <c r="J653" s="1056"/>
      <c r="K653" s="1056"/>
      <c r="L653" s="1056"/>
      <c r="M653" s="1056"/>
      <c r="N653" s="1056"/>
      <c r="O653" s="1056"/>
      <c r="P653" s="1056"/>
      <c r="Q653" s="1056"/>
      <c r="R653" s="1056"/>
      <c r="S653" s="296"/>
      <c r="T653" s="294"/>
      <c r="U653" s="294"/>
      <c r="V653" s="294"/>
      <c r="W653" s="84"/>
      <c r="X653" s="85"/>
      <c r="Y653" s="295"/>
      <c r="Z653" s="1056"/>
      <c r="AA653" s="1056"/>
      <c r="AB653" s="1056"/>
      <c r="AC653" s="1056"/>
      <c r="AD653" s="1056"/>
      <c r="AE653" s="1056"/>
      <c r="AF653" s="1056"/>
      <c r="AG653" s="1056"/>
      <c r="AH653" s="1056"/>
      <c r="AI653" s="1056"/>
      <c r="AJ653" s="1056"/>
      <c r="AK653" s="1056"/>
      <c r="AL653" s="1056"/>
      <c r="AM653" s="1056"/>
      <c r="AN653" s="1056"/>
      <c r="AO653" s="1056"/>
      <c r="AP653" s="1056"/>
      <c r="AQ653" s="1056"/>
      <c r="AR653" s="1056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</row>
    <row r="654" spans="1:86" s="53" customFormat="1" ht="21.75" hidden="1" customHeight="1" x14ac:dyDescent="0.2">
      <c r="A654" s="983">
        <f t="shared" si="17"/>
        <v>54</v>
      </c>
      <c r="B654" s="878" t="s">
        <v>910</v>
      </c>
      <c r="C654" s="919" t="s">
        <v>911</v>
      </c>
      <c r="D654" s="975">
        <v>0.35899999999999999</v>
      </c>
      <c r="E654" s="970"/>
      <c r="F654" s="975">
        <v>0.35899999999999999</v>
      </c>
      <c r="G654" s="970"/>
      <c r="H654" s="1056"/>
      <c r="I654" s="1056"/>
      <c r="J654" s="1056"/>
      <c r="K654" s="1056"/>
      <c r="L654" s="1056"/>
      <c r="M654" s="1056"/>
      <c r="N654" s="1056"/>
      <c r="O654" s="1056"/>
      <c r="P654" s="1056"/>
      <c r="Q654" s="1056"/>
      <c r="R654" s="1056"/>
      <c r="S654" s="296"/>
      <c r="T654" s="294"/>
      <c r="U654" s="294"/>
      <c r="V654" s="294"/>
      <c r="W654" s="84"/>
      <c r="X654" s="85"/>
      <c r="Y654" s="295"/>
      <c r="Z654" s="1056"/>
      <c r="AA654" s="1056"/>
      <c r="AB654" s="1056"/>
      <c r="AC654" s="1056"/>
      <c r="AD654" s="1056"/>
      <c r="AE654" s="1056"/>
      <c r="AF654" s="1056"/>
      <c r="AG654" s="1056"/>
      <c r="AH654" s="1056"/>
      <c r="AI654" s="1056"/>
      <c r="AJ654" s="1056"/>
      <c r="AK654" s="1056"/>
      <c r="AL654" s="1056"/>
      <c r="AM654" s="1056"/>
      <c r="AN654" s="1056"/>
      <c r="AO654" s="1056"/>
      <c r="AP654" s="1056"/>
      <c r="AQ654" s="1056"/>
      <c r="AR654" s="1056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</row>
    <row r="655" spans="1:86" s="53" customFormat="1" ht="21.75" hidden="1" customHeight="1" x14ac:dyDescent="0.2">
      <c r="A655" s="983">
        <f t="shared" si="17"/>
        <v>55</v>
      </c>
      <c r="B655" s="878" t="s">
        <v>912</v>
      </c>
      <c r="C655" s="919" t="s">
        <v>913</v>
      </c>
      <c r="D655" s="975">
        <v>0.375</v>
      </c>
      <c r="E655" s="970"/>
      <c r="F655" s="975">
        <v>0.375</v>
      </c>
      <c r="G655" s="970"/>
      <c r="H655" s="1056"/>
      <c r="I655" s="1056"/>
      <c r="J655" s="1056"/>
      <c r="K655" s="1056"/>
      <c r="L655" s="1056"/>
      <c r="M655" s="1056"/>
      <c r="N655" s="1056"/>
      <c r="O655" s="1056"/>
      <c r="P655" s="1056"/>
      <c r="Q655" s="1056"/>
      <c r="R655" s="1056"/>
      <c r="S655" s="296"/>
      <c r="T655" s="294"/>
      <c r="U655" s="294"/>
      <c r="V655" s="294"/>
      <c r="W655" s="84"/>
      <c r="X655" s="85"/>
      <c r="Y655" s="295"/>
      <c r="Z655" s="1056"/>
      <c r="AA655" s="1056"/>
      <c r="AB655" s="1056"/>
      <c r="AC655" s="1056"/>
      <c r="AD655" s="1056"/>
      <c r="AE655" s="1056"/>
      <c r="AF655" s="1056"/>
      <c r="AG655" s="1056"/>
      <c r="AH655" s="1056"/>
      <c r="AI655" s="1056"/>
      <c r="AJ655" s="1056"/>
      <c r="AK655" s="1056"/>
      <c r="AL655" s="1056"/>
      <c r="AM655" s="1056"/>
      <c r="AN655" s="1056"/>
      <c r="AO655" s="1056"/>
      <c r="AP655" s="1056"/>
      <c r="AQ655" s="1056"/>
      <c r="AR655" s="1056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</row>
    <row r="656" spans="1:86" s="53" customFormat="1" ht="21.75" hidden="1" customHeight="1" x14ac:dyDescent="0.2">
      <c r="A656" s="983">
        <f t="shared" si="17"/>
        <v>56</v>
      </c>
      <c r="B656" s="878" t="s">
        <v>914</v>
      </c>
      <c r="C656" s="919" t="s">
        <v>915</v>
      </c>
      <c r="D656" s="975">
        <v>0.35399999999999998</v>
      </c>
      <c r="E656" s="970"/>
      <c r="F656" s="975">
        <v>0.35399999999999998</v>
      </c>
      <c r="G656" s="970"/>
      <c r="H656" s="1056"/>
      <c r="I656" s="1056"/>
      <c r="J656" s="1056"/>
      <c r="K656" s="1056"/>
      <c r="L656" s="1056"/>
      <c r="M656" s="1056"/>
      <c r="N656" s="1056"/>
      <c r="O656" s="1056"/>
      <c r="P656" s="1056"/>
      <c r="Q656" s="1056"/>
      <c r="R656" s="1056"/>
      <c r="S656" s="296"/>
      <c r="T656" s="294"/>
      <c r="U656" s="294"/>
      <c r="V656" s="294"/>
      <c r="W656" s="84"/>
      <c r="X656" s="85"/>
      <c r="Y656" s="295"/>
      <c r="Z656" s="1056"/>
      <c r="AA656" s="1056"/>
      <c r="AB656" s="1056"/>
      <c r="AC656" s="1056"/>
      <c r="AD656" s="1056"/>
      <c r="AE656" s="1056"/>
      <c r="AF656" s="1056"/>
      <c r="AG656" s="1056"/>
      <c r="AH656" s="1056"/>
      <c r="AI656" s="1056"/>
      <c r="AJ656" s="1056"/>
      <c r="AK656" s="1056"/>
      <c r="AL656" s="1056"/>
      <c r="AM656" s="1056"/>
      <c r="AN656" s="1056"/>
      <c r="AO656" s="1056"/>
      <c r="AP656" s="1056"/>
      <c r="AQ656" s="1056"/>
      <c r="AR656" s="1056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</row>
    <row r="657" spans="1:86" s="53" customFormat="1" ht="21.75" hidden="1" customHeight="1" x14ac:dyDescent="0.2">
      <c r="A657" s="983">
        <f t="shared" si="17"/>
        <v>57</v>
      </c>
      <c r="B657" s="878" t="s">
        <v>916</v>
      </c>
      <c r="C657" s="919" t="s">
        <v>917</v>
      </c>
      <c r="D657" s="975">
        <v>0.14799999999999999</v>
      </c>
      <c r="E657" s="970"/>
      <c r="F657" s="975">
        <v>0.14799999999999999</v>
      </c>
      <c r="G657" s="970"/>
      <c r="H657" s="1056"/>
      <c r="I657" s="1056"/>
      <c r="J657" s="1056"/>
      <c r="K657" s="1056"/>
      <c r="L657" s="1056"/>
      <c r="M657" s="1056"/>
      <c r="N657" s="1056"/>
      <c r="O657" s="1056"/>
      <c r="P657" s="1056"/>
      <c r="Q657" s="1056"/>
      <c r="R657" s="1056"/>
      <c r="S657" s="296"/>
      <c r="T657" s="294"/>
      <c r="U657" s="294"/>
      <c r="V657" s="294"/>
      <c r="W657" s="84"/>
      <c r="X657" s="85"/>
      <c r="Y657" s="295"/>
      <c r="Z657" s="1056"/>
      <c r="AA657" s="1056"/>
      <c r="AB657" s="1056"/>
      <c r="AC657" s="1056"/>
      <c r="AD657" s="1056"/>
      <c r="AE657" s="1056"/>
      <c r="AF657" s="1056"/>
      <c r="AG657" s="1056"/>
      <c r="AH657" s="1056"/>
      <c r="AI657" s="1056"/>
      <c r="AJ657" s="1056"/>
      <c r="AK657" s="1056"/>
      <c r="AL657" s="1056"/>
      <c r="AM657" s="1056"/>
      <c r="AN657" s="1056"/>
      <c r="AO657" s="1056"/>
      <c r="AP657" s="1056"/>
      <c r="AQ657" s="1056"/>
      <c r="AR657" s="1056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</row>
    <row r="658" spans="1:86" s="53" customFormat="1" ht="21.75" hidden="1" customHeight="1" x14ac:dyDescent="0.2">
      <c r="A658" s="983">
        <f t="shared" si="17"/>
        <v>58</v>
      </c>
      <c r="B658" s="878" t="s">
        <v>918</v>
      </c>
      <c r="C658" s="919" t="s">
        <v>919</v>
      </c>
      <c r="D658" s="975">
        <v>0.33900000000000002</v>
      </c>
      <c r="E658" s="970"/>
      <c r="F658" s="975">
        <v>0.33900000000000002</v>
      </c>
      <c r="G658" s="970"/>
      <c r="H658" s="1056"/>
      <c r="I658" s="1056"/>
      <c r="J658" s="1056"/>
      <c r="K658" s="1056"/>
      <c r="L658" s="1056"/>
      <c r="M658" s="1056"/>
      <c r="N658" s="1056"/>
      <c r="O658" s="1056"/>
      <c r="P658" s="1056"/>
      <c r="Q658" s="1056"/>
      <c r="R658" s="1056"/>
      <c r="S658" s="296"/>
      <c r="T658" s="294"/>
      <c r="U658" s="294"/>
      <c r="V658" s="294"/>
      <c r="W658" s="84"/>
      <c r="X658" s="85"/>
      <c r="Y658" s="295"/>
      <c r="Z658" s="1056"/>
      <c r="AA658" s="1056"/>
      <c r="AB658" s="1056"/>
      <c r="AC658" s="1056"/>
      <c r="AD658" s="1056"/>
      <c r="AE658" s="1056"/>
      <c r="AF658" s="1056"/>
      <c r="AG658" s="1056"/>
      <c r="AH658" s="1056"/>
      <c r="AI658" s="1056"/>
      <c r="AJ658" s="1056"/>
      <c r="AK658" s="1056"/>
      <c r="AL658" s="1056"/>
      <c r="AM658" s="1056"/>
      <c r="AN658" s="1056"/>
      <c r="AO658" s="1056"/>
      <c r="AP658" s="1056"/>
      <c r="AQ658" s="1056"/>
      <c r="AR658" s="1056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</row>
    <row r="659" spans="1:86" s="53" customFormat="1" ht="36" hidden="1" customHeight="1" x14ac:dyDescent="0.2">
      <c r="A659" s="983">
        <f t="shared" si="17"/>
        <v>59</v>
      </c>
      <c r="B659" s="2534" t="s">
        <v>920</v>
      </c>
      <c r="C659" s="919" t="s">
        <v>921</v>
      </c>
      <c r="D659" s="975">
        <v>0.34499999999999997</v>
      </c>
      <c r="E659" s="970"/>
      <c r="F659" s="975">
        <v>0.34499999999999997</v>
      </c>
      <c r="G659" s="970"/>
      <c r="H659" s="1056"/>
      <c r="I659" s="1056"/>
      <c r="J659" s="1056"/>
      <c r="K659" s="1056"/>
      <c r="L659" s="1056"/>
      <c r="M659" s="1056"/>
      <c r="N659" s="1056"/>
      <c r="O659" s="1056"/>
      <c r="P659" s="1056"/>
      <c r="Q659" s="1056"/>
      <c r="R659" s="1056"/>
      <c r="S659" s="296"/>
      <c r="T659" s="294"/>
      <c r="U659" s="294"/>
      <c r="V659" s="294"/>
      <c r="W659" s="84"/>
      <c r="X659" s="85"/>
      <c r="Y659" s="295"/>
      <c r="Z659" s="1056"/>
      <c r="AA659" s="1056"/>
      <c r="AB659" s="1056"/>
      <c r="AC659" s="1056"/>
      <c r="AD659" s="1056"/>
      <c r="AE659" s="1056"/>
      <c r="AF659" s="1056"/>
      <c r="AG659" s="1056"/>
      <c r="AH659" s="1056"/>
      <c r="AI659" s="1056"/>
      <c r="AJ659" s="1056"/>
      <c r="AK659" s="1056"/>
      <c r="AL659" s="1056"/>
      <c r="AM659" s="1056"/>
      <c r="AN659" s="1056"/>
      <c r="AO659" s="1056"/>
      <c r="AP659" s="1056"/>
      <c r="AQ659" s="1056"/>
      <c r="AR659" s="1056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</row>
    <row r="660" spans="1:86" s="53" customFormat="1" ht="36" hidden="1" customHeight="1" x14ac:dyDescent="0.2">
      <c r="A660" s="983">
        <f t="shared" si="17"/>
        <v>60</v>
      </c>
      <c r="B660" s="878" t="s">
        <v>922</v>
      </c>
      <c r="C660" s="919" t="s">
        <v>923</v>
      </c>
      <c r="D660" s="975">
        <v>1.893</v>
      </c>
      <c r="E660" s="970"/>
      <c r="F660" s="975">
        <v>1.893</v>
      </c>
      <c r="G660" s="970"/>
      <c r="H660" s="1056"/>
      <c r="I660" s="1056"/>
      <c r="J660" s="1056"/>
      <c r="K660" s="1056"/>
      <c r="L660" s="1056"/>
      <c r="M660" s="1056"/>
      <c r="N660" s="1056"/>
      <c r="O660" s="1056"/>
      <c r="P660" s="1056"/>
      <c r="Q660" s="1056"/>
      <c r="R660" s="1056"/>
      <c r="S660" s="296"/>
      <c r="T660" s="294"/>
      <c r="U660" s="294"/>
      <c r="V660" s="294"/>
      <c r="W660" s="84"/>
      <c r="X660" s="85"/>
      <c r="Y660" s="295"/>
      <c r="Z660" s="1056"/>
      <c r="AA660" s="1056"/>
      <c r="AB660" s="1056"/>
      <c r="AC660" s="1056"/>
      <c r="AD660" s="1056"/>
      <c r="AE660" s="1056"/>
      <c r="AF660" s="1056"/>
      <c r="AG660" s="1056"/>
      <c r="AH660" s="1056"/>
      <c r="AI660" s="1056"/>
      <c r="AJ660" s="1056"/>
      <c r="AK660" s="1056"/>
      <c r="AL660" s="1056"/>
      <c r="AM660" s="1056"/>
      <c r="AN660" s="1056"/>
      <c r="AO660" s="1056"/>
      <c r="AP660" s="1056"/>
      <c r="AQ660" s="1056"/>
      <c r="AR660" s="1056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</row>
    <row r="661" spans="1:86" s="53" customFormat="1" ht="52.15" hidden="1" customHeight="1" x14ac:dyDescent="0.2">
      <c r="A661" s="983">
        <f t="shared" si="17"/>
        <v>61</v>
      </c>
      <c r="B661" s="878" t="s">
        <v>922</v>
      </c>
      <c r="C661" s="919" t="s">
        <v>924</v>
      </c>
      <c r="D661" s="975">
        <v>0.34200000000000003</v>
      </c>
      <c r="E661" s="970"/>
      <c r="F661" s="975">
        <v>0.34200000000000003</v>
      </c>
      <c r="G661" s="970"/>
      <c r="H661" s="1056"/>
      <c r="I661" s="1056"/>
      <c r="J661" s="1056"/>
      <c r="K661" s="1056"/>
      <c r="L661" s="1056"/>
      <c r="M661" s="1056"/>
      <c r="N661" s="1056"/>
      <c r="O661" s="1056"/>
      <c r="P661" s="1056"/>
      <c r="Q661" s="1056"/>
      <c r="R661" s="1056"/>
      <c r="S661" s="296"/>
      <c r="T661" s="294"/>
      <c r="U661" s="294"/>
      <c r="V661" s="294"/>
      <c r="W661" s="84"/>
      <c r="X661" s="85"/>
      <c r="Y661" s="295"/>
      <c r="Z661" s="1056"/>
      <c r="AA661" s="1056"/>
      <c r="AB661" s="1056"/>
      <c r="AC661" s="1056"/>
      <c r="AD661" s="1056"/>
      <c r="AE661" s="1056"/>
      <c r="AF661" s="1056"/>
      <c r="AG661" s="1056"/>
      <c r="AH661" s="1056"/>
      <c r="AI661" s="1056"/>
      <c r="AJ661" s="1056"/>
      <c r="AK661" s="1056"/>
      <c r="AL661" s="1056"/>
      <c r="AM661" s="1056"/>
      <c r="AN661" s="1056"/>
      <c r="AO661" s="1056"/>
      <c r="AP661" s="1056"/>
      <c r="AQ661" s="1056"/>
      <c r="AR661" s="1056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</row>
    <row r="662" spans="1:86" s="53" customFormat="1" ht="36" hidden="1" customHeight="1" x14ac:dyDescent="0.2">
      <c r="A662" s="983">
        <f t="shared" si="17"/>
        <v>62</v>
      </c>
      <c r="B662" s="878">
        <v>3404377</v>
      </c>
      <c r="C662" s="919" t="s">
        <v>925</v>
      </c>
      <c r="D662" s="975">
        <v>1.425</v>
      </c>
      <c r="E662" s="970"/>
      <c r="F662" s="975">
        <v>1.425</v>
      </c>
      <c r="G662" s="970"/>
      <c r="H662" s="1056"/>
      <c r="I662" s="1056"/>
      <c r="J662" s="1056"/>
      <c r="K662" s="1056"/>
      <c r="L662" s="1056"/>
      <c r="M662" s="1056"/>
      <c r="N662" s="1056"/>
      <c r="O662" s="1056"/>
      <c r="P662" s="1056"/>
      <c r="Q662" s="1056"/>
      <c r="R662" s="1056"/>
      <c r="S662" s="296"/>
      <c r="T662" s="294"/>
      <c r="U662" s="294"/>
      <c r="V662" s="294"/>
      <c r="W662" s="84"/>
      <c r="X662" s="85"/>
      <c r="Y662" s="295"/>
      <c r="Z662" s="1056"/>
      <c r="AA662" s="1056"/>
      <c r="AB662" s="1056"/>
      <c r="AC662" s="1056"/>
      <c r="AD662" s="1056"/>
      <c r="AE662" s="1056"/>
      <c r="AF662" s="1056"/>
      <c r="AG662" s="1056"/>
      <c r="AH662" s="1056"/>
      <c r="AI662" s="1056"/>
      <c r="AJ662" s="1056"/>
      <c r="AK662" s="1056"/>
      <c r="AL662" s="1056"/>
      <c r="AM662" s="1056"/>
      <c r="AN662" s="1056"/>
      <c r="AO662" s="1056"/>
      <c r="AP662" s="1056"/>
      <c r="AQ662" s="1056"/>
      <c r="AR662" s="1056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</row>
    <row r="663" spans="1:86" s="53" customFormat="1" ht="36" hidden="1" customHeight="1" x14ac:dyDescent="0.2">
      <c r="A663" s="983">
        <f t="shared" si="17"/>
        <v>63</v>
      </c>
      <c r="B663" s="878">
        <v>3404405</v>
      </c>
      <c r="C663" s="919" t="s">
        <v>926</v>
      </c>
      <c r="D663" s="975">
        <v>1.3</v>
      </c>
      <c r="E663" s="970"/>
      <c r="F663" s="975">
        <v>1.3</v>
      </c>
      <c r="G663" s="970"/>
      <c r="H663" s="1056"/>
      <c r="I663" s="1056"/>
      <c r="J663" s="1056"/>
      <c r="K663" s="1056"/>
      <c r="L663" s="1056"/>
      <c r="M663" s="1056"/>
      <c r="N663" s="1056"/>
      <c r="O663" s="1056"/>
      <c r="P663" s="1056"/>
      <c r="Q663" s="1056"/>
      <c r="R663" s="1056"/>
      <c r="S663" s="296"/>
      <c r="T663" s="294"/>
      <c r="U663" s="294"/>
      <c r="V663" s="294"/>
      <c r="W663" s="84"/>
      <c r="X663" s="85"/>
      <c r="Y663" s="295"/>
      <c r="Z663" s="1056"/>
      <c r="AA663" s="1056"/>
      <c r="AB663" s="1056"/>
      <c r="AC663" s="1056"/>
      <c r="AD663" s="1056"/>
      <c r="AE663" s="1056"/>
      <c r="AF663" s="1056"/>
      <c r="AG663" s="1056"/>
      <c r="AH663" s="1056"/>
      <c r="AI663" s="1056"/>
      <c r="AJ663" s="1056"/>
      <c r="AK663" s="1056"/>
      <c r="AL663" s="1056"/>
      <c r="AM663" s="1056"/>
      <c r="AN663" s="1056"/>
      <c r="AO663" s="1056"/>
      <c r="AP663" s="1056"/>
      <c r="AQ663" s="1056"/>
      <c r="AR663" s="1056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</row>
    <row r="664" spans="1:86" s="53" customFormat="1" ht="21.75" hidden="1" customHeight="1" x14ac:dyDescent="0.2">
      <c r="A664" s="983">
        <f t="shared" si="17"/>
        <v>64</v>
      </c>
      <c r="B664" s="878">
        <v>3404402</v>
      </c>
      <c r="C664" s="919" t="s">
        <v>927</v>
      </c>
      <c r="D664" s="975">
        <v>1.224</v>
      </c>
      <c r="E664" s="970"/>
      <c r="F664" s="975">
        <v>1.224</v>
      </c>
      <c r="G664" s="970"/>
      <c r="H664" s="1056"/>
      <c r="I664" s="1056"/>
      <c r="J664" s="1056"/>
      <c r="K664" s="1056"/>
      <c r="L664" s="1056"/>
      <c r="M664" s="1056"/>
      <c r="N664" s="1056"/>
      <c r="O664" s="1056"/>
      <c r="P664" s="1056"/>
      <c r="Q664" s="1056"/>
      <c r="R664" s="1056"/>
      <c r="S664" s="296"/>
      <c r="T664" s="294"/>
      <c r="U664" s="294"/>
      <c r="V664" s="294"/>
      <c r="W664" s="84"/>
      <c r="X664" s="85"/>
      <c r="Y664" s="295"/>
      <c r="Z664" s="1056"/>
      <c r="AA664" s="1056"/>
      <c r="AB664" s="1056"/>
      <c r="AC664" s="1056"/>
      <c r="AD664" s="1056"/>
      <c r="AE664" s="1056"/>
      <c r="AF664" s="1056"/>
      <c r="AG664" s="1056"/>
      <c r="AH664" s="1056"/>
      <c r="AI664" s="1056"/>
      <c r="AJ664" s="1056"/>
      <c r="AK664" s="1056"/>
      <c r="AL664" s="1056"/>
      <c r="AM664" s="1056"/>
      <c r="AN664" s="1056"/>
      <c r="AO664" s="1056"/>
      <c r="AP664" s="1056"/>
      <c r="AQ664" s="1056"/>
      <c r="AR664" s="1056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</row>
    <row r="665" spans="1:86" s="53" customFormat="1" ht="21.75" hidden="1" customHeight="1" x14ac:dyDescent="0.2">
      <c r="A665" s="983">
        <f t="shared" si="17"/>
        <v>65</v>
      </c>
      <c r="B665" s="878">
        <v>3404381</v>
      </c>
      <c r="C665" s="919" t="s">
        <v>928</v>
      </c>
      <c r="D665" s="975">
        <v>0.7</v>
      </c>
      <c r="E665" s="970"/>
      <c r="F665" s="975">
        <v>0.7</v>
      </c>
      <c r="G665" s="970"/>
      <c r="H665" s="1056"/>
      <c r="I665" s="1056"/>
      <c r="J665" s="1056"/>
      <c r="K665" s="1056"/>
      <c r="L665" s="1056"/>
      <c r="M665" s="1056"/>
      <c r="N665" s="1056"/>
      <c r="O665" s="1056"/>
      <c r="P665" s="1056"/>
      <c r="Q665" s="1056"/>
      <c r="R665" s="1056"/>
      <c r="S665" s="296"/>
      <c r="T665" s="294"/>
      <c r="U665" s="294"/>
      <c r="V665" s="294"/>
      <c r="W665" s="84"/>
      <c r="X665" s="85"/>
      <c r="Y665" s="295"/>
      <c r="Z665" s="1056"/>
      <c r="AA665" s="1056"/>
      <c r="AB665" s="1056"/>
      <c r="AC665" s="1056"/>
      <c r="AD665" s="1056"/>
      <c r="AE665" s="1056"/>
      <c r="AF665" s="1056"/>
      <c r="AG665" s="1056"/>
      <c r="AH665" s="1056"/>
      <c r="AI665" s="1056"/>
      <c r="AJ665" s="1056"/>
      <c r="AK665" s="1056"/>
      <c r="AL665" s="1056"/>
      <c r="AM665" s="1056"/>
      <c r="AN665" s="1056"/>
      <c r="AO665" s="1056"/>
      <c r="AP665" s="1056"/>
      <c r="AQ665" s="1056"/>
      <c r="AR665" s="1056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</row>
    <row r="666" spans="1:86" s="53" customFormat="1" ht="21.75" hidden="1" customHeight="1" x14ac:dyDescent="0.2">
      <c r="A666" s="983">
        <f t="shared" si="17"/>
        <v>66</v>
      </c>
      <c r="B666" s="878">
        <v>3404407</v>
      </c>
      <c r="C666" s="919" t="s">
        <v>929</v>
      </c>
      <c r="D666" s="975">
        <v>0.9</v>
      </c>
      <c r="E666" s="970"/>
      <c r="F666" s="975">
        <v>0.9</v>
      </c>
      <c r="G666" s="970"/>
      <c r="H666" s="1056"/>
      <c r="I666" s="1056"/>
      <c r="J666" s="1056"/>
      <c r="K666" s="1056"/>
      <c r="L666" s="1056"/>
      <c r="M666" s="1056"/>
      <c r="N666" s="1056"/>
      <c r="O666" s="1056"/>
      <c r="P666" s="1056"/>
      <c r="Q666" s="1056"/>
      <c r="R666" s="1056"/>
      <c r="S666" s="296"/>
      <c r="T666" s="294"/>
      <c r="U666" s="294"/>
      <c r="V666" s="294"/>
      <c r="W666" s="84"/>
      <c r="X666" s="85"/>
      <c r="Y666" s="295"/>
      <c r="Z666" s="1056"/>
      <c r="AA666" s="1056"/>
      <c r="AB666" s="1056"/>
      <c r="AC666" s="1056"/>
      <c r="AD666" s="1056"/>
      <c r="AE666" s="1056"/>
      <c r="AF666" s="1056"/>
      <c r="AG666" s="1056"/>
      <c r="AH666" s="1056"/>
      <c r="AI666" s="1056"/>
      <c r="AJ666" s="1056"/>
      <c r="AK666" s="1056"/>
      <c r="AL666" s="1056"/>
      <c r="AM666" s="1056"/>
      <c r="AN666" s="1056"/>
      <c r="AO666" s="1056"/>
      <c r="AP666" s="1056"/>
      <c r="AQ666" s="1056"/>
      <c r="AR666" s="1056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</row>
    <row r="667" spans="1:86" s="53" customFormat="1" ht="21.75" hidden="1" customHeight="1" x14ac:dyDescent="0.2">
      <c r="A667" s="983">
        <f t="shared" si="17"/>
        <v>67</v>
      </c>
      <c r="B667" s="878">
        <v>3404393</v>
      </c>
      <c r="C667" s="919" t="s">
        <v>930</v>
      </c>
      <c r="D667" s="975">
        <f>6.84</f>
        <v>6.84</v>
      </c>
      <c r="E667" s="970"/>
      <c r="F667" s="975">
        <f>6.84</f>
        <v>6.84</v>
      </c>
      <c r="G667" s="970"/>
      <c r="H667" s="1056"/>
      <c r="I667" s="1056"/>
      <c r="J667" s="1056"/>
      <c r="K667" s="1056"/>
      <c r="L667" s="1056"/>
      <c r="M667" s="1056"/>
      <c r="N667" s="1056"/>
      <c r="O667" s="1056"/>
      <c r="P667" s="1056"/>
      <c r="Q667" s="1056"/>
      <c r="R667" s="1056"/>
      <c r="S667" s="296"/>
      <c r="T667" s="294"/>
      <c r="U667" s="294"/>
      <c r="V667" s="294"/>
      <c r="W667" s="84"/>
      <c r="X667" s="85"/>
      <c r="Y667" s="295"/>
      <c r="Z667" s="1056"/>
      <c r="AA667" s="1056"/>
      <c r="AB667" s="1056"/>
      <c r="AC667" s="1056"/>
      <c r="AD667" s="1056"/>
      <c r="AE667" s="1056"/>
      <c r="AF667" s="1056"/>
      <c r="AG667" s="1056"/>
      <c r="AH667" s="1056"/>
      <c r="AI667" s="1056"/>
      <c r="AJ667" s="1056"/>
      <c r="AK667" s="1056"/>
      <c r="AL667" s="1056"/>
      <c r="AM667" s="1056"/>
      <c r="AN667" s="1056"/>
      <c r="AO667" s="1056"/>
      <c r="AP667" s="1056"/>
      <c r="AQ667" s="1056"/>
      <c r="AR667" s="1056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</row>
    <row r="668" spans="1:86" s="53" customFormat="1" ht="21.75" hidden="1" customHeight="1" x14ac:dyDescent="0.2">
      <c r="A668" s="983"/>
      <c r="B668" s="878"/>
      <c r="C668" s="136" t="s">
        <v>931</v>
      </c>
      <c r="D668" s="137">
        <f>SUM(D669:D692)</f>
        <v>51.017999999999994</v>
      </c>
      <c r="E668" s="137">
        <f>SUM(E669:E692)</f>
        <v>0</v>
      </c>
      <c r="F668" s="137">
        <f>SUM(F669:F692)</f>
        <v>39.701999999999991</v>
      </c>
      <c r="G668" s="137">
        <f>SUM(G669:G692)</f>
        <v>0</v>
      </c>
      <c r="H668" s="1056"/>
      <c r="I668" s="1056"/>
      <c r="J668" s="1056"/>
      <c r="K668" s="1056"/>
      <c r="L668" s="1056"/>
      <c r="M668" s="1056"/>
      <c r="N668" s="1056"/>
      <c r="O668" s="1056"/>
      <c r="P668" s="1056"/>
      <c r="Q668" s="1056"/>
      <c r="R668" s="1056"/>
      <c r="S668" s="296"/>
      <c r="T668" s="294"/>
      <c r="U668" s="294"/>
      <c r="V668" s="294"/>
      <c r="W668" s="84"/>
      <c r="X668" s="85"/>
      <c r="Y668" s="295"/>
      <c r="Z668" s="1056"/>
      <c r="AA668" s="1056"/>
      <c r="AB668" s="1056"/>
      <c r="AC668" s="1056"/>
      <c r="AD668" s="1056"/>
      <c r="AE668" s="1056"/>
      <c r="AF668" s="1056"/>
      <c r="AG668" s="1056"/>
      <c r="AH668" s="1056"/>
      <c r="AI668" s="1056"/>
      <c r="AJ668" s="1056"/>
      <c r="AK668" s="1056"/>
      <c r="AL668" s="1056"/>
      <c r="AM668" s="1056"/>
      <c r="AN668" s="1056"/>
      <c r="AO668" s="1056"/>
      <c r="AP668" s="1056"/>
      <c r="AQ668" s="1056"/>
      <c r="AR668" s="1056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</row>
    <row r="669" spans="1:86" s="53" customFormat="1" ht="40.15" hidden="1" customHeight="1" x14ac:dyDescent="0.2">
      <c r="A669" s="983">
        <v>1</v>
      </c>
      <c r="B669" s="878">
        <v>3404380</v>
      </c>
      <c r="C669" s="919" t="s">
        <v>581</v>
      </c>
      <c r="D669" s="975">
        <v>8.25</v>
      </c>
      <c r="E669" s="975"/>
      <c r="F669" s="975">
        <v>8.25</v>
      </c>
      <c r="G669" s="996"/>
      <c r="H669" s="1056"/>
      <c r="I669" s="1056"/>
      <c r="J669" s="1056"/>
      <c r="K669" s="1056"/>
      <c r="L669" s="1056"/>
      <c r="M669" s="1056"/>
      <c r="N669" s="1056"/>
      <c r="O669" s="1056"/>
      <c r="P669" s="1056"/>
      <c r="Q669" s="1056"/>
      <c r="R669" s="1056"/>
      <c r="S669" s="296"/>
      <c r="T669" s="294"/>
      <c r="U669" s="294"/>
      <c r="V669" s="294"/>
      <c r="W669" s="84"/>
      <c r="X669" s="85"/>
      <c r="Y669" s="295"/>
      <c r="Z669" s="1056"/>
      <c r="AA669" s="1056"/>
      <c r="AB669" s="1056"/>
      <c r="AC669" s="1056"/>
      <c r="AD669" s="1056"/>
      <c r="AE669" s="1056"/>
      <c r="AF669" s="1056"/>
      <c r="AG669" s="1056"/>
      <c r="AH669" s="1056"/>
      <c r="AI669" s="1056"/>
      <c r="AJ669" s="1056"/>
      <c r="AK669" s="1056"/>
      <c r="AL669" s="1056"/>
      <c r="AM669" s="1056"/>
      <c r="AN669" s="1056"/>
      <c r="AO669" s="1056"/>
      <c r="AP669" s="1056"/>
      <c r="AQ669" s="1056"/>
      <c r="AR669" s="1056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</row>
    <row r="670" spans="1:86" s="53" customFormat="1" ht="28.9" hidden="1" customHeight="1" x14ac:dyDescent="0.2">
      <c r="A670" s="983">
        <f>A669+1</f>
        <v>2</v>
      </c>
      <c r="B670" s="878">
        <v>3404371</v>
      </c>
      <c r="C670" s="919" t="s">
        <v>82</v>
      </c>
      <c r="D670" s="975">
        <v>2.02</v>
      </c>
      <c r="E670" s="975"/>
      <c r="F670" s="975">
        <v>2.02</v>
      </c>
      <c r="G670" s="996"/>
      <c r="H670" s="1056"/>
      <c r="I670" s="1056"/>
      <c r="J670" s="1056"/>
      <c r="K670" s="1056"/>
      <c r="L670" s="1056"/>
      <c r="M670" s="1056"/>
      <c r="N670" s="1056"/>
      <c r="O670" s="1056"/>
      <c r="P670" s="1056"/>
      <c r="Q670" s="1056"/>
      <c r="R670" s="1056"/>
      <c r="S670" s="296"/>
      <c r="T670" s="294"/>
      <c r="U670" s="294"/>
      <c r="V670" s="294"/>
      <c r="W670" s="84"/>
      <c r="X670" s="85"/>
      <c r="Y670" s="295"/>
      <c r="Z670" s="1056"/>
      <c r="AA670" s="1056"/>
      <c r="AB670" s="1056"/>
      <c r="AC670" s="1056"/>
      <c r="AD670" s="1056"/>
      <c r="AE670" s="1056"/>
      <c r="AF670" s="1056"/>
      <c r="AG670" s="1056"/>
      <c r="AH670" s="1056"/>
      <c r="AI670" s="1056"/>
      <c r="AJ670" s="1056"/>
      <c r="AK670" s="1056"/>
      <c r="AL670" s="1056"/>
      <c r="AM670" s="1056"/>
      <c r="AN670" s="1056"/>
      <c r="AO670" s="1056"/>
      <c r="AP670" s="1056"/>
      <c r="AQ670" s="1056"/>
      <c r="AR670" s="1056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</row>
    <row r="671" spans="1:86" s="53" customFormat="1" ht="28.9" hidden="1" customHeight="1" x14ac:dyDescent="0.2">
      <c r="A671" s="983">
        <f t="shared" ref="A671:A692" si="18">A670+1</f>
        <v>3</v>
      </c>
      <c r="B671" s="878">
        <v>2244804</v>
      </c>
      <c r="C671" s="919" t="s">
        <v>932</v>
      </c>
      <c r="D671" s="975">
        <v>0.52</v>
      </c>
      <c r="E671" s="975"/>
      <c r="F671" s="975">
        <v>0.52</v>
      </c>
      <c r="G671" s="996"/>
      <c r="H671" s="1056"/>
      <c r="I671" s="1056"/>
      <c r="J671" s="1056"/>
      <c r="K671" s="1056"/>
      <c r="L671" s="1056"/>
      <c r="M671" s="1056"/>
      <c r="N671" s="1056"/>
      <c r="O671" s="1056"/>
      <c r="P671" s="1056"/>
      <c r="Q671" s="1056"/>
      <c r="R671" s="1056"/>
      <c r="S671" s="296"/>
      <c r="T671" s="294"/>
      <c r="U671" s="294"/>
      <c r="V671" s="294"/>
      <c r="W671" s="84"/>
      <c r="X671" s="85"/>
      <c r="Y671" s="295"/>
      <c r="Z671" s="1056"/>
      <c r="AA671" s="1056"/>
      <c r="AB671" s="1056"/>
      <c r="AC671" s="1056"/>
      <c r="AD671" s="1056"/>
      <c r="AE671" s="1056"/>
      <c r="AF671" s="1056"/>
      <c r="AG671" s="1056"/>
      <c r="AH671" s="1056"/>
      <c r="AI671" s="1056"/>
      <c r="AJ671" s="1056"/>
      <c r="AK671" s="1056"/>
      <c r="AL671" s="1056"/>
      <c r="AM671" s="1056"/>
      <c r="AN671" s="1056"/>
      <c r="AO671" s="1056"/>
      <c r="AP671" s="1056"/>
      <c r="AQ671" s="1056"/>
      <c r="AR671" s="1056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</row>
    <row r="672" spans="1:86" s="53" customFormat="1" ht="28.9" hidden="1" customHeight="1" x14ac:dyDescent="0.2">
      <c r="A672" s="983">
        <f t="shared" si="18"/>
        <v>4</v>
      </c>
      <c r="B672" s="878">
        <v>3404386</v>
      </c>
      <c r="C672" s="919" t="s">
        <v>933</v>
      </c>
      <c r="D672" s="975">
        <f>0.496+0.495</f>
        <v>0.99099999999999999</v>
      </c>
      <c r="E672" s="975"/>
      <c r="F672" s="975">
        <v>0.496</v>
      </c>
      <c r="G672" s="996"/>
      <c r="H672" s="1056"/>
      <c r="I672" s="1056"/>
      <c r="J672" s="1056"/>
      <c r="K672" s="1056"/>
      <c r="L672" s="1056"/>
      <c r="M672" s="1056"/>
      <c r="N672" s="1056"/>
      <c r="O672" s="1056"/>
      <c r="P672" s="1056"/>
      <c r="Q672" s="1056"/>
      <c r="R672" s="1056"/>
      <c r="S672" s="296"/>
      <c r="T672" s="294"/>
      <c r="U672" s="294"/>
      <c r="V672" s="294"/>
      <c r="W672" s="84"/>
      <c r="X672" s="85"/>
      <c r="Y672" s="295"/>
      <c r="Z672" s="1056"/>
      <c r="AA672" s="1056"/>
      <c r="AB672" s="1056"/>
      <c r="AC672" s="1056"/>
      <c r="AD672" s="1056"/>
      <c r="AE672" s="1056"/>
      <c r="AF672" s="1056"/>
      <c r="AG672" s="1056"/>
      <c r="AH672" s="1056"/>
      <c r="AI672" s="1056"/>
      <c r="AJ672" s="1056"/>
      <c r="AK672" s="1056"/>
      <c r="AL672" s="1056"/>
      <c r="AM672" s="1056"/>
      <c r="AN672" s="1056"/>
      <c r="AO672" s="1056"/>
      <c r="AP672" s="1056"/>
      <c r="AQ672" s="1056"/>
      <c r="AR672" s="1056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</row>
    <row r="673" spans="1:86" s="53" customFormat="1" ht="28.9" hidden="1" customHeight="1" x14ac:dyDescent="0.2">
      <c r="A673" s="983">
        <f t="shared" si="18"/>
        <v>5</v>
      </c>
      <c r="B673" s="878">
        <v>3404391</v>
      </c>
      <c r="C673" s="919" t="s">
        <v>81</v>
      </c>
      <c r="D673" s="975">
        <v>4</v>
      </c>
      <c r="E673" s="975"/>
      <c r="F673" s="975">
        <v>4</v>
      </c>
      <c r="G673" s="996"/>
      <c r="H673" s="1056"/>
      <c r="I673" s="1056"/>
      <c r="J673" s="1056"/>
      <c r="K673" s="1056"/>
      <c r="L673" s="1056"/>
      <c r="M673" s="1056"/>
      <c r="N673" s="1056"/>
      <c r="O673" s="1056"/>
      <c r="P673" s="1056"/>
      <c r="Q673" s="1056"/>
      <c r="R673" s="1056"/>
      <c r="S673" s="296"/>
      <c r="T673" s="294"/>
      <c r="U673" s="294"/>
      <c r="V673" s="294"/>
      <c r="W673" s="84"/>
      <c r="X673" s="85"/>
      <c r="Y673" s="295"/>
      <c r="Z673" s="1056"/>
      <c r="AA673" s="1056"/>
      <c r="AB673" s="1056"/>
      <c r="AC673" s="1056"/>
      <c r="AD673" s="1056"/>
      <c r="AE673" s="1056"/>
      <c r="AF673" s="1056"/>
      <c r="AG673" s="1056"/>
      <c r="AH673" s="1056"/>
      <c r="AI673" s="1056"/>
      <c r="AJ673" s="1056"/>
      <c r="AK673" s="1056"/>
      <c r="AL673" s="1056"/>
      <c r="AM673" s="1056"/>
      <c r="AN673" s="1056"/>
      <c r="AO673" s="1056"/>
      <c r="AP673" s="1056"/>
      <c r="AQ673" s="1056"/>
      <c r="AR673" s="1056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</row>
    <row r="674" spans="1:86" s="53" customFormat="1" ht="28.9" hidden="1" customHeight="1" x14ac:dyDescent="0.2">
      <c r="A674" s="983">
        <f t="shared" si="18"/>
        <v>6</v>
      </c>
      <c r="B674" s="878">
        <v>3404406</v>
      </c>
      <c r="C674" s="919" t="s">
        <v>934</v>
      </c>
      <c r="D674" s="975">
        <f>1.08+0.324+0.79</f>
        <v>2.194</v>
      </c>
      <c r="E674" s="975"/>
      <c r="F674" s="975">
        <v>0.32400000000000001</v>
      </c>
      <c r="G674" s="996"/>
      <c r="H674" s="1056"/>
      <c r="I674" s="1056"/>
      <c r="J674" s="1056"/>
      <c r="K674" s="1056"/>
      <c r="L674" s="1056"/>
      <c r="M674" s="1056"/>
      <c r="N674" s="1056"/>
      <c r="O674" s="1056"/>
      <c r="P674" s="1056"/>
      <c r="Q674" s="1056"/>
      <c r="R674" s="1056"/>
      <c r="S674" s="296"/>
      <c r="T674" s="294"/>
      <c r="U674" s="294"/>
      <c r="V674" s="294"/>
      <c r="W674" s="84"/>
      <c r="X674" s="85"/>
      <c r="Y674" s="295"/>
      <c r="Z674" s="1056"/>
      <c r="AA674" s="1056"/>
      <c r="AB674" s="1056"/>
      <c r="AC674" s="1056"/>
      <c r="AD674" s="1056"/>
      <c r="AE674" s="1056"/>
      <c r="AF674" s="1056"/>
      <c r="AG674" s="1056"/>
      <c r="AH674" s="1056"/>
      <c r="AI674" s="1056"/>
      <c r="AJ674" s="1056"/>
      <c r="AK674" s="1056"/>
      <c r="AL674" s="1056"/>
      <c r="AM674" s="1056"/>
      <c r="AN674" s="1056"/>
      <c r="AO674" s="1056"/>
      <c r="AP674" s="1056"/>
      <c r="AQ674" s="1056"/>
      <c r="AR674" s="1056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</row>
    <row r="675" spans="1:86" s="53" customFormat="1" ht="34.15" hidden="1" customHeight="1" x14ac:dyDescent="0.2">
      <c r="A675" s="983">
        <f t="shared" si="18"/>
        <v>7</v>
      </c>
      <c r="B675" s="878" t="s">
        <v>935</v>
      </c>
      <c r="C675" s="919" t="s">
        <v>936</v>
      </c>
      <c r="D675" s="975">
        <f>0.954+0.244</f>
        <v>1.198</v>
      </c>
      <c r="E675" s="975"/>
      <c r="F675" s="975">
        <f>0.954+0.244</f>
        <v>1.198</v>
      </c>
      <c r="G675" s="996"/>
      <c r="H675" s="1056"/>
      <c r="I675" s="1056"/>
      <c r="J675" s="1056"/>
      <c r="K675" s="1056"/>
      <c r="L675" s="1056"/>
      <c r="M675" s="1056"/>
      <c r="N675" s="1056"/>
      <c r="O675" s="1056"/>
      <c r="P675" s="1056"/>
      <c r="Q675" s="1056"/>
      <c r="R675" s="1056"/>
      <c r="S675" s="296"/>
      <c r="T675" s="294"/>
      <c r="U675" s="294"/>
      <c r="V675" s="294"/>
      <c r="W675" s="84"/>
      <c r="X675" s="85"/>
      <c r="Y675" s="295"/>
      <c r="Z675" s="1056"/>
      <c r="AA675" s="1056"/>
      <c r="AB675" s="1056"/>
      <c r="AC675" s="1056"/>
      <c r="AD675" s="1056"/>
      <c r="AE675" s="1056"/>
      <c r="AF675" s="1056"/>
      <c r="AG675" s="1056"/>
      <c r="AH675" s="1056"/>
      <c r="AI675" s="1056"/>
      <c r="AJ675" s="1056"/>
      <c r="AK675" s="1056"/>
      <c r="AL675" s="1056"/>
      <c r="AM675" s="1056"/>
      <c r="AN675" s="1056"/>
      <c r="AO675" s="1056"/>
      <c r="AP675" s="1056"/>
      <c r="AQ675" s="1056"/>
      <c r="AR675" s="1056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</row>
    <row r="676" spans="1:86" s="53" customFormat="1" ht="28.9" hidden="1" customHeight="1" x14ac:dyDescent="0.2">
      <c r="A676" s="983">
        <f t="shared" si="18"/>
        <v>8</v>
      </c>
      <c r="B676" s="878" t="s">
        <v>937</v>
      </c>
      <c r="C676" s="919" t="s">
        <v>938</v>
      </c>
      <c r="D676" s="975">
        <v>0.36399999999999999</v>
      </c>
      <c r="E676" s="975"/>
      <c r="F676" s="975">
        <v>0.36399999999999999</v>
      </c>
      <c r="G676" s="996"/>
      <c r="H676" s="1056"/>
      <c r="I676" s="1056"/>
      <c r="J676" s="1056"/>
      <c r="K676" s="1056"/>
      <c r="L676" s="1056"/>
      <c r="M676" s="1056"/>
      <c r="N676" s="1056"/>
      <c r="O676" s="1056"/>
      <c r="P676" s="1056"/>
      <c r="Q676" s="1056"/>
      <c r="R676" s="1056"/>
      <c r="S676" s="296"/>
      <c r="T676" s="294"/>
      <c r="U676" s="294"/>
      <c r="V676" s="294"/>
      <c r="W676" s="84"/>
      <c r="X676" s="85"/>
      <c r="Y676" s="295"/>
      <c r="Z676" s="1056"/>
      <c r="AA676" s="1056"/>
      <c r="AB676" s="1056"/>
      <c r="AC676" s="1056"/>
      <c r="AD676" s="1056"/>
      <c r="AE676" s="1056"/>
      <c r="AF676" s="1056"/>
      <c r="AG676" s="1056"/>
      <c r="AH676" s="1056"/>
      <c r="AI676" s="1056"/>
      <c r="AJ676" s="1056"/>
      <c r="AK676" s="1056"/>
      <c r="AL676" s="1056"/>
      <c r="AM676" s="1056"/>
      <c r="AN676" s="1056"/>
      <c r="AO676" s="1056"/>
      <c r="AP676" s="1056"/>
      <c r="AQ676" s="1056"/>
      <c r="AR676" s="1056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</row>
    <row r="677" spans="1:86" s="53" customFormat="1" ht="28.9" hidden="1" customHeight="1" x14ac:dyDescent="0.2">
      <c r="A677" s="983">
        <f t="shared" si="18"/>
        <v>9</v>
      </c>
      <c r="B677" s="878" t="s">
        <v>939</v>
      </c>
      <c r="C677" s="919" t="s">
        <v>940</v>
      </c>
      <c r="D677" s="975">
        <v>0.89300000000000002</v>
      </c>
      <c r="E677" s="975"/>
      <c r="F677" s="975">
        <f>0.893</f>
        <v>0.89300000000000002</v>
      </c>
      <c r="G677" s="996"/>
      <c r="H677" s="1056"/>
      <c r="I677" s="1056"/>
      <c r="J677" s="1056"/>
      <c r="K677" s="1056"/>
      <c r="L677" s="1056"/>
      <c r="M677" s="1056"/>
      <c r="N677" s="1056"/>
      <c r="O677" s="1056"/>
      <c r="P677" s="1056"/>
      <c r="Q677" s="1056"/>
      <c r="R677" s="1056"/>
      <c r="S677" s="296"/>
      <c r="T677" s="294"/>
      <c r="U677" s="294"/>
      <c r="V677" s="294"/>
      <c r="W677" s="84"/>
      <c r="X677" s="85"/>
      <c r="Y677" s="295"/>
      <c r="Z677" s="1056"/>
      <c r="AA677" s="1056"/>
      <c r="AB677" s="1056"/>
      <c r="AC677" s="1056"/>
      <c r="AD677" s="1056"/>
      <c r="AE677" s="1056"/>
      <c r="AF677" s="1056"/>
      <c r="AG677" s="1056"/>
      <c r="AH677" s="1056"/>
      <c r="AI677" s="1056"/>
      <c r="AJ677" s="1056"/>
      <c r="AK677" s="1056"/>
      <c r="AL677" s="1056"/>
      <c r="AM677" s="1056"/>
      <c r="AN677" s="1056"/>
      <c r="AO677" s="1056"/>
      <c r="AP677" s="1056"/>
      <c r="AQ677" s="1056"/>
      <c r="AR677" s="1056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</row>
    <row r="678" spans="1:86" s="53" customFormat="1" ht="28.9" hidden="1" customHeight="1" x14ac:dyDescent="0.2">
      <c r="A678" s="983">
        <f t="shared" si="18"/>
        <v>10</v>
      </c>
      <c r="B678" s="878" t="s">
        <v>941</v>
      </c>
      <c r="C678" s="919" t="s">
        <v>942</v>
      </c>
      <c r="D678" s="975">
        <v>0.54</v>
      </c>
      <c r="E678" s="975"/>
      <c r="F678" s="975">
        <v>0.38700000000000001</v>
      </c>
      <c r="G678" s="996"/>
      <c r="H678" s="1056"/>
      <c r="I678" s="1056"/>
      <c r="J678" s="1056"/>
      <c r="K678" s="1056"/>
      <c r="L678" s="1056"/>
      <c r="M678" s="1056"/>
      <c r="N678" s="1056"/>
      <c r="O678" s="1056"/>
      <c r="P678" s="1056"/>
      <c r="Q678" s="1056"/>
      <c r="R678" s="1056"/>
      <c r="S678" s="296"/>
      <c r="T678" s="294"/>
      <c r="U678" s="294"/>
      <c r="V678" s="294"/>
      <c r="W678" s="84"/>
      <c r="X678" s="85"/>
      <c r="Y678" s="295"/>
      <c r="Z678" s="1056"/>
      <c r="AA678" s="1056"/>
      <c r="AB678" s="1056"/>
      <c r="AC678" s="1056"/>
      <c r="AD678" s="1056"/>
      <c r="AE678" s="1056"/>
      <c r="AF678" s="1056"/>
      <c r="AG678" s="1056"/>
      <c r="AH678" s="1056"/>
      <c r="AI678" s="1056"/>
      <c r="AJ678" s="1056"/>
      <c r="AK678" s="1056"/>
      <c r="AL678" s="1056"/>
      <c r="AM678" s="1056"/>
      <c r="AN678" s="1056"/>
      <c r="AO678" s="1056"/>
      <c r="AP678" s="1056"/>
      <c r="AQ678" s="1056"/>
      <c r="AR678" s="1056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</row>
    <row r="679" spans="1:86" s="53" customFormat="1" ht="28.9" hidden="1" customHeight="1" x14ac:dyDescent="0.2">
      <c r="A679" s="983">
        <f t="shared" si="18"/>
        <v>11</v>
      </c>
      <c r="B679" s="878">
        <v>3404390</v>
      </c>
      <c r="C679" s="919" t="s">
        <v>484</v>
      </c>
      <c r="D679" s="975">
        <v>5.2</v>
      </c>
      <c r="E679" s="975"/>
      <c r="F679" s="975">
        <v>0.79</v>
      </c>
      <c r="G679" s="996"/>
      <c r="H679" s="1056"/>
      <c r="I679" s="1056"/>
      <c r="J679" s="1056"/>
      <c r="K679" s="1056"/>
      <c r="L679" s="1056"/>
      <c r="M679" s="1056"/>
      <c r="N679" s="1056"/>
      <c r="O679" s="1056"/>
      <c r="P679" s="1056"/>
      <c r="Q679" s="1056"/>
      <c r="R679" s="1056"/>
      <c r="S679" s="296"/>
      <c r="T679" s="294"/>
      <c r="U679" s="294"/>
      <c r="V679" s="294"/>
      <c r="W679" s="84"/>
      <c r="X679" s="85"/>
      <c r="Y679" s="295"/>
      <c r="Z679" s="1056"/>
      <c r="AA679" s="1056"/>
      <c r="AB679" s="1056"/>
      <c r="AC679" s="1056"/>
      <c r="AD679" s="1056"/>
      <c r="AE679" s="1056"/>
      <c r="AF679" s="1056"/>
      <c r="AG679" s="1056"/>
      <c r="AH679" s="1056"/>
      <c r="AI679" s="1056"/>
      <c r="AJ679" s="1056"/>
      <c r="AK679" s="1056"/>
      <c r="AL679" s="1056"/>
      <c r="AM679" s="1056"/>
      <c r="AN679" s="1056"/>
      <c r="AO679" s="1056"/>
      <c r="AP679" s="1056"/>
      <c r="AQ679" s="1056"/>
      <c r="AR679" s="1056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</row>
    <row r="680" spans="1:86" s="53" customFormat="1" ht="28.9" hidden="1" customHeight="1" x14ac:dyDescent="0.2">
      <c r="A680" s="983">
        <f t="shared" si="18"/>
        <v>12</v>
      </c>
      <c r="B680" s="878" t="s">
        <v>943</v>
      </c>
      <c r="C680" s="919" t="s">
        <v>944</v>
      </c>
      <c r="D680" s="975">
        <v>0.64700000000000002</v>
      </c>
      <c r="E680" s="975"/>
      <c r="F680" s="975">
        <v>0.52500000000000002</v>
      </c>
      <c r="G680" s="996"/>
      <c r="H680" s="1056"/>
      <c r="I680" s="1056"/>
      <c r="J680" s="1056"/>
      <c r="K680" s="1056"/>
      <c r="L680" s="1056"/>
      <c r="M680" s="1056"/>
      <c r="N680" s="1056"/>
      <c r="O680" s="1056"/>
      <c r="P680" s="1056"/>
      <c r="Q680" s="1056"/>
      <c r="R680" s="1056"/>
      <c r="S680" s="296"/>
      <c r="T680" s="294"/>
      <c r="U680" s="294"/>
      <c r="V680" s="294"/>
      <c r="W680" s="84"/>
      <c r="X680" s="85"/>
      <c r="Y680" s="295"/>
      <c r="Z680" s="1056"/>
      <c r="AA680" s="1056"/>
      <c r="AB680" s="1056"/>
      <c r="AC680" s="1056"/>
      <c r="AD680" s="1056"/>
      <c r="AE680" s="1056"/>
      <c r="AF680" s="1056"/>
      <c r="AG680" s="1056"/>
      <c r="AH680" s="1056"/>
      <c r="AI680" s="1056"/>
      <c r="AJ680" s="1056"/>
      <c r="AK680" s="1056"/>
      <c r="AL680" s="1056"/>
      <c r="AM680" s="1056"/>
      <c r="AN680" s="1056"/>
      <c r="AO680" s="1056"/>
      <c r="AP680" s="1056"/>
      <c r="AQ680" s="1056"/>
      <c r="AR680" s="1056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</row>
    <row r="681" spans="1:86" s="53" customFormat="1" ht="28.9" hidden="1" customHeight="1" x14ac:dyDescent="0.2">
      <c r="A681" s="983">
        <f t="shared" si="18"/>
        <v>13</v>
      </c>
      <c r="B681" s="878" t="s">
        <v>945</v>
      </c>
      <c r="C681" s="919" t="s">
        <v>946</v>
      </c>
      <c r="D681" s="975">
        <v>1.03</v>
      </c>
      <c r="E681" s="975"/>
      <c r="F681" s="975">
        <v>1.03</v>
      </c>
      <c r="G681" s="996"/>
      <c r="H681" s="1056"/>
      <c r="I681" s="1056"/>
      <c r="J681" s="1056"/>
      <c r="K681" s="1056"/>
      <c r="L681" s="1056"/>
      <c r="M681" s="1056"/>
      <c r="N681" s="1056"/>
      <c r="O681" s="1056"/>
      <c r="P681" s="1056"/>
      <c r="Q681" s="1056"/>
      <c r="R681" s="1056"/>
      <c r="S681" s="296"/>
      <c r="T681" s="294"/>
      <c r="U681" s="294"/>
      <c r="V681" s="294"/>
      <c r="W681" s="84"/>
      <c r="X681" s="85"/>
      <c r="Y681" s="295"/>
      <c r="Z681" s="1056"/>
      <c r="AA681" s="1056"/>
      <c r="AB681" s="1056"/>
      <c r="AC681" s="1056"/>
      <c r="AD681" s="1056"/>
      <c r="AE681" s="1056"/>
      <c r="AF681" s="1056"/>
      <c r="AG681" s="1056"/>
      <c r="AH681" s="1056"/>
      <c r="AI681" s="1056"/>
      <c r="AJ681" s="1056"/>
      <c r="AK681" s="1056"/>
      <c r="AL681" s="1056"/>
      <c r="AM681" s="1056"/>
      <c r="AN681" s="1056"/>
      <c r="AO681" s="1056"/>
      <c r="AP681" s="1056"/>
      <c r="AQ681" s="1056"/>
      <c r="AR681" s="1056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</row>
    <row r="682" spans="1:86" s="53" customFormat="1" ht="28.9" hidden="1" customHeight="1" x14ac:dyDescent="0.2">
      <c r="A682" s="983">
        <f t="shared" si="18"/>
        <v>14</v>
      </c>
      <c r="B682" s="878" t="s">
        <v>947</v>
      </c>
      <c r="C682" s="919" t="s">
        <v>948</v>
      </c>
      <c r="D682" s="975">
        <v>0.91</v>
      </c>
      <c r="E682" s="975"/>
      <c r="F682" s="975">
        <v>0.8</v>
      </c>
      <c r="G682" s="996"/>
      <c r="H682" s="1056"/>
      <c r="I682" s="1056"/>
      <c r="J682" s="1056"/>
      <c r="K682" s="1056"/>
      <c r="L682" s="1056"/>
      <c r="M682" s="1056"/>
      <c r="N682" s="1056"/>
      <c r="O682" s="1056"/>
      <c r="P682" s="1056"/>
      <c r="Q682" s="1056"/>
      <c r="R682" s="1056"/>
      <c r="S682" s="296"/>
      <c r="T682" s="294"/>
      <c r="U682" s="294"/>
      <c r="V682" s="294"/>
      <c r="W682" s="84"/>
      <c r="X682" s="85"/>
      <c r="Y682" s="295"/>
      <c r="Z682" s="1056"/>
      <c r="AA682" s="1056"/>
      <c r="AB682" s="1056"/>
      <c r="AC682" s="1056"/>
      <c r="AD682" s="1056"/>
      <c r="AE682" s="1056"/>
      <c r="AF682" s="1056"/>
      <c r="AG682" s="1056"/>
      <c r="AH682" s="1056"/>
      <c r="AI682" s="1056"/>
      <c r="AJ682" s="1056"/>
      <c r="AK682" s="1056"/>
      <c r="AL682" s="1056"/>
      <c r="AM682" s="1056"/>
      <c r="AN682" s="1056"/>
      <c r="AO682" s="1056"/>
      <c r="AP682" s="1056"/>
      <c r="AQ682" s="1056"/>
      <c r="AR682" s="1056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</row>
    <row r="683" spans="1:86" s="53" customFormat="1" ht="28.9" hidden="1" customHeight="1" x14ac:dyDescent="0.2">
      <c r="A683" s="983">
        <f t="shared" si="18"/>
        <v>15</v>
      </c>
      <c r="B683" s="878" t="s">
        <v>949</v>
      </c>
      <c r="C683" s="919" t="s">
        <v>487</v>
      </c>
      <c r="D683" s="975">
        <v>0.48</v>
      </c>
      <c r="E683" s="975"/>
      <c r="F683" s="975">
        <v>0.48</v>
      </c>
      <c r="G683" s="996"/>
      <c r="H683" s="1056"/>
      <c r="I683" s="1056"/>
      <c r="J683" s="1056"/>
      <c r="K683" s="1056"/>
      <c r="L683" s="1056"/>
      <c r="M683" s="1056"/>
      <c r="N683" s="1056"/>
      <c r="O683" s="1056"/>
      <c r="P683" s="1056"/>
      <c r="Q683" s="1056"/>
      <c r="R683" s="1056"/>
      <c r="S683" s="296"/>
      <c r="T683" s="294"/>
      <c r="U683" s="294"/>
      <c r="V683" s="294"/>
      <c r="W683" s="84"/>
      <c r="X683" s="85"/>
      <c r="Y683" s="295"/>
      <c r="Z683" s="1056"/>
      <c r="AA683" s="1056"/>
      <c r="AB683" s="1056"/>
      <c r="AC683" s="1056"/>
      <c r="AD683" s="1056"/>
      <c r="AE683" s="1056"/>
      <c r="AF683" s="1056"/>
      <c r="AG683" s="1056"/>
      <c r="AH683" s="1056"/>
      <c r="AI683" s="1056"/>
      <c r="AJ683" s="1056"/>
      <c r="AK683" s="1056"/>
      <c r="AL683" s="1056"/>
      <c r="AM683" s="1056"/>
      <c r="AN683" s="1056"/>
      <c r="AO683" s="1056"/>
      <c r="AP683" s="1056"/>
      <c r="AQ683" s="1056"/>
      <c r="AR683" s="1056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</row>
    <row r="684" spans="1:86" s="53" customFormat="1" ht="28.9" hidden="1" customHeight="1" x14ac:dyDescent="0.2">
      <c r="A684" s="983">
        <f t="shared" si="18"/>
        <v>16</v>
      </c>
      <c r="B684" s="878">
        <v>3404410</v>
      </c>
      <c r="C684" s="919" t="s">
        <v>950</v>
      </c>
      <c r="D684" s="975">
        <v>6.13</v>
      </c>
      <c r="E684" s="975"/>
      <c r="F684" s="975">
        <v>6.13</v>
      </c>
      <c r="G684" s="996"/>
      <c r="H684" s="1056"/>
      <c r="I684" s="1056"/>
      <c r="J684" s="1056"/>
      <c r="K684" s="1056"/>
      <c r="L684" s="1056"/>
      <c r="M684" s="1056"/>
      <c r="N684" s="1056"/>
      <c r="O684" s="1056"/>
      <c r="P684" s="1056"/>
      <c r="Q684" s="1056"/>
      <c r="R684" s="1056"/>
      <c r="S684" s="296"/>
      <c r="T684" s="294"/>
      <c r="U684" s="294"/>
      <c r="V684" s="294"/>
      <c r="W684" s="84"/>
      <c r="X684" s="85"/>
      <c r="Y684" s="295"/>
      <c r="Z684" s="1056"/>
      <c r="AA684" s="1056"/>
      <c r="AB684" s="1056"/>
      <c r="AC684" s="1056"/>
      <c r="AD684" s="1056"/>
      <c r="AE684" s="1056"/>
      <c r="AF684" s="1056"/>
      <c r="AG684" s="1056"/>
      <c r="AH684" s="1056"/>
      <c r="AI684" s="1056"/>
      <c r="AJ684" s="1056"/>
      <c r="AK684" s="1056"/>
      <c r="AL684" s="1056"/>
      <c r="AM684" s="1056"/>
      <c r="AN684" s="1056"/>
      <c r="AO684" s="1056"/>
      <c r="AP684" s="1056"/>
      <c r="AQ684" s="1056"/>
      <c r="AR684" s="1056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</row>
    <row r="685" spans="1:86" s="53" customFormat="1" ht="28.9" hidden="1" customHeight="1" x14ac:dyDescent="0.2">
      <c r="A685" s="983">
        <f t="shared" si="18"/>
        <v>17</v>
      </c>
      <c r="B685" s="878">
        <v>3404404</v>
      </c>
      <c r="C685" s="919" t="s">
        <v>951</v>
      </c>
      <c r="D685" s="975">
        <v>0.77</v>
      </c>
      <c r="E685" s="975"/>
      <c r="F685" s="975">
        <v>0.77</v>
      </c>
      <c r="G685" s="996"/>
      <c r="H685" s="1056"/>
      <c r="I685" s="1056"/>
      <c r="J685" s="1056"/>
      <c r="K685" s="1056"/>
      <c r="L685" s="1056"/>
      <c r="M685" s="1056"/>
      <c r="N685" s="1056"/>
      <c r="O685" s="1056"/>
      <c r="P685" s="1056"/>
      <c r="Q685" s="1056"/>
      <c r="R685" s="1056"/>
      <c r="S685" s="296"/>
      <c r="T685" s="294"/>
      <c r="U685" s="294"/>
      <c r="V685" s="294"/>
      <c r="W685" s="84"/>
      <c r="X685" s="85"/>
      <c r="Y685" s="295"/>
      <c r="Z685" s="1056"/>
      <c r="AA685" s="1056"/>
      <c r="AB685" s="1056"/>
      <c r="AC685" s="1056"/>
      <c r="AD685" s="1056"/>
      <c r="AE685" s="1056"/>
      <c r="AF685" s="1056"/>
      <c r="AG685" s="1056"/>
      <c r="AH685" s="1056"/>
      <c r="AI685" s="1056"/>
      <c r="AJ685" s="1056"/>
      <c r="AK685" s="1056"/>
      <c r="AL685" s="1056"/>
      <c r="AM685" s="1056"/>
      <c r="AN685" s="1056"/>
      <c r="AO685" s="1056"/>
      <c r="AP685" s="1056"/>
      <c r="AQ685" s="1056"/>
      <c r="AR685" s="1056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</row>
    <row r="686" spans="1:86" s="53" customFormat="1" ht="28.9" hidden="1" customHeight="1" x14ac:dyDescent="0.2">
      <c r="A686" s="983">
        <f t="shared" si="18"/>
        <v>18</v>
      </c>
      <c r="B686" s="878">
        <v>3404397</v>
      </c>
      <c r="C686" s="919" t="s">
        <v>952</v>
      </c>
      <c r="D686" s="975">
        <v>7.7759999999999998</v>
      </c>
      <c r="E686" s="975"/>
      <c r="F686" s="975">
        <v>6.6109999999999998</v>
      </c>
      <c r="G686" s="996"/>
      <c r="H686" s="1056"/>
      <c r="I686" s="1056"/>
      <c r="J686" s="1056"/>
      <c r="K686" s="1056"/>
      <c r="L686" s="1056"/>
      <c r="M686" s="1056"/>
      <c r="N686" s="1056"/>
      <c r="O686" s="1056"/>
      <c r="P686" s="1056"/>
      <c r="Q686" s="1056"/>
      <c r="R686" s="1056"/>
      <c r="S686" s="296"/>
      <c r="T686" s="294"/>
      <c r="U686" s="294"/>
      <c r="V686" s="294"/>
      <c r="W686" s="84"/>
      <c r="X686" s="85"/>
      <c r="Y686" s="295"/>
      <c r="Z686" s="1056"/>
      <c r="AA686" s="1056"/>
      <c r="AB686" s="1056"/>
      <c r="AC686" s="1056"/>
      <c r="AD686" s="1056"/>
      <c r="AE686" s="1056"/>
      <c r="AF686" s="1056"/>
      <c r="AG686" s="1056"/>
      <c r="AH686" s="1056"/>
      <c r="AI686" s="1056"/>
      <c r="AJ686" s="1056"/>
      <c r="AK686" s="1056"/>
      <c r="AL686" s="1056"/>
      <c r="AM686" s="1056"/>
      <c r="AN686" s="1056"/>
      <c r="AO686" s="1056"/>
      <c r="AP686" s="1056"/>
      <c r="AQ686" s="1056"/>
      <c r="AR686" s="1056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</row>
    <row r="687" spans="1:86" s="53" customFormat="1" ht="34.15" hidden="1" customHeight="1" x14ac:dyDescent="0.2">
      <c r="A687" s="983">
        <f t="shared" si="18"/>
        <v>19</v>
      </c>
      <c r="B687" s="878" t="s">
        <v>953</v>
      </c>
      <c r="C687" s="919" t="s">
        <v>954</v>
      </c>
      <c r="D687" s="975">
        <v>0.73099999999999998</v>
      </c>
      <c r="E687" s="975"/>
      <c r="F687" s="975">
        <v>0.19</v>
      </c>
      <c r="G687" s="996"/>
      <c r="H687" s="1056"/>
      <c r="I687" s="1056"/>
      <c r="J687" s="1056"/>
      <c r="K687" s="1056"/>
      <c r="L687" s="1056"/>
      <c r="M687" s="1056"/>
      <c r="N687" s="1056"/>
      <c r="O687" s="1056"/>
      <c r="P687" s="1056"/>
      <c r="Q687" s="1056"/>
      <c r="R687" s="1056"/>
      <c r="S687" s="296"/>
      <c r="T687" s="294"/>
      <c r="U687" s="294"/>
      <c r="V687" s="294"/>
      <c r="W687" s="84"/>
      <c r="X687" s="85"/>
      <c r="Y687" s="295"/>
      <c r="Z687" s="1056"/>
      <c r="AA687" s="1056"/>
      <c r="AB687" s="1056"/>
      <c r="AC687" s="1056"/>
      <c r="AD687" s="1056"/>
      <c r="AE687" s="1056"/>
      <c r="AF687" s="1056"/>
      <c r="AG687" s="1056"/>
      <c r="AH687" s="1056"/>
      <c r="AI687" s="1056"/>
      <c r="AJ687" s="1056"/>
      <c r="AK687" s="1056"/>
      <c r="AL687" s="1056"/>
      <c r="AM687" s="1056"/>
      <c r="AN687" s="1056"/>
      <c r="AO687" s="1056"/>
      <c r="AP687" s="1056"/>
      <c r="AQ687" s="1056"/>
      <c r="AR687" s="1056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</row>
    <row r="688" spans="1:86" s="53" customFormat="1" ht="34.15" hidden="1" customHeight="1" x14ac:dyDescent="0.2">
      <c r="A688" s="983">
        <f t="shared" si="18"/>
        <v>20</v>
      </c>
      <c r="B688" s="878" t="s">
        <v>955</v>
      </c>
      <c r="C688" s="919" t="s">
        <v>956</v>
      </c>
      <c r="D688" s="975">
        <v>0.81799999999999995</v>
      </c>
      <c r="E688" s="975"/>
      <c r="F688" s="975">
        <v>0.81799999999999995</v>
      </c>
      <c r="G688" s="996"/>
      <c r="H688" s="1056"/>
      <c r="I688" s="1056"/>
      <c r="J688" s="1056"/>
      <c r="K688" s="1056"/>
      <c r="L688" s="1056"/>
      <c r="M688" s="1056"/>
      <c r="N688" s="1056"/>
      <c r="O688" s="1056"/>
      <c r="P688" s="1056"/>
      <c r="Q688" s="1056"/>
      <c r="R688" s="1056"/>
      <c r="S688" s="296"/>
      <c r="T688" s="294"/>
      <c r="U688" s="294"/>
      <c r="V688" s="294"/>
      <c r="W688" s="84"/>
      <c r="X688" s="85"/>
      <c r="Y688" s="295"/>
      <c r="Z688" s="1056"/>
      <c r="AA688" s="1056"/>
      <c r="AB688" s="1056"/>
      <c r="AC688" s="1056"/>
      <c r="AD688" s="1056"/>
      <c r="AE688" s="1056"/>
      <c r="AF688" s="1056"/>
      <c r="AG688" s="1056"/>
      <c r="AH688" s="1056"/>
      <c r="AI688" s="1056"/>
      <c r="AJ688" s="1056"/>
      <c r="AK688" s="1056"/>
      <c r="AL688" s="1056"/>
      <c r="AM688" s="1056"/>
      <c r="AN688" s="1056"/>
      <c r="AO688" s="1056"/>
      <c r="AP688" s="1056"/>
      <c r="AQ688" s="1056"/>
      <c r="AR688" s="1056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</row>
    <row r="689" spans="1:86" s="53" customFormat="1" ht="34.15" hidden="1" customHeight="1" x14ac:dyDescent="0.2">
      <c r="A689" s="983">
        <f t="shared" si="18"/>
        <v>21</v>
      </c>
      <c r="B689" s="878" t="s">
        <v>957</v>
      </c>
      <c r="C689" s="919" t="s">
        <v>958</v>
      </c>
      <c r="D689" s="975">
        <v>0.56200000000000006</v>
      </c>
      <c r="E689" s="975"/>
      <c r="F689" s="975">
        <v>0.56200000000000006</v>
      </c>
      <c r="G689" s="996"/>
      <c r="H689" s="1056"/>
      <c r="I689" s="1056"/>
      <c r="J689" s="1056"/>
      <c r="K689" s="1056"/>
      <c r="L689" s="1056"/>
      <c r="M689" s="1056"/>
      <c r="N689" s="1056"/>
      <c r="O689" s="1056"/>
      <c r="P689" s="1056"/>
      <c r="Q689" s="1056"/>
      <c r="R689" s="1056"/>
      <c r="S689" s="296"/>
      <c r="T689" s="294"/>
      <c r="U689" s="294"/>
      <c r="V689" s="294"/>
      <c r="W689" s="84"/>
      <c r="X689" s="85"/>
      <c r="Y689" s="295"/>
      <c r="Z689" s="1056"/>
      <c r="AA689" s="1056"/>
      <c r="AB689" s="1056"/>
      <c r="AC689" s="1056"/>
      <c r="AD689" s="1056"/>
      <c r="AE689" s="1056"/>
      <c r="AF689" s="1056"/>
      <c r="AG689" s="1056"/>
      <c r="AH689" s="1056"/>
      <c r="AI689" s="1056"/>
      <c r="AJ689" s="1056"/>
      <c r="AK689" s="1056"/>
      <c r="AL689" s="1056"/>
      <c r="AM689" s="1056"/>
      <c r="AN689" s="1056"/>
      <c r="AO689" s="1056"/>
      <c r="AP689" s="1056"/>
      <c r="AQ689" s="1056"/>
      <c r="AR689" s="1056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</row>
    <row r="690" spans="1:86" s="53" customFormat="1" ht="34.15" hidden="1" customHeight="1" x14ac:dyDescent="0.2">
      <c r="A690" s="983">
        <f t="shared" si="18"/>
        <v>22</v>
      </c>
      <c r="B690" s="878">
        <v>2244808</v>
      </c>
      <c r="C690" s="919" t="s">
        <v>959</v>
      </c>
      <c r="D690" s="975">
        <v>0.49399999999999999</v>
      </c>
      <c r="E690" s="975"/>
      <c r="F690" s="975">
        <v>0.49399999999999999</v>
      </c>
      <c r="G690" s="996"/>
      <c r="H690" s="1056"/>
      <c r="I690" s="1056"/>
      <c r="J690" s="1056"/>
      <c r="K690" s="1056"/>
      <c r="L690" s="1056"/>
      <c r="M690" s="1056"/>
      <c r="N690" s="1056"/>
      <c r="O690" s="1056"/>
      <c r="P690" s="1056"/>
      <c r="Q690" s="1056"/>
      <c r="R690" s="1056"/>
      <c r="S690" s="296"/>
      <c r="T690" s="294"/>
      <c r="U690" s="294"/>
      <c r="V690" s="294"/>
      <c r="W690" s="84"/>
      <c r="X690" s="85"/>
      <c r="Y690" s="295"/>
      <c r="Z690" s="1056"/>
      <c r="AA690" s="1056"/>
      <c r="AB690" s="1056"/>
      <c r="AC690" s="1056"/>
      <c r="AD690" s="1056"/>
      <c r="AE690" s="1056"/>
      <c r="AF690" s="1056"/>
      <c r="AG690" s="1056"/>
      <c r="AH690" s="1056"/>
      <c r="AI690" s="1056"/>
      <c r="AJ690" s="1056"/>
      <c r="AK690" s="1056"/>
      <c r="AL690" s="1056"/>
      <c r="AM690" s="1056"/>
      <c r="AN690" s="1056"/>
      <c r="AO690" s="1056"/>
      <c r="AP690" s="1056"/>
      <c r="AQ690" s="1056"/>
      <c r="AR690" s="1056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</row>
    <row r="691" spans="1:86" s="53" customFormat="1" ht="28.9" hidden="1" customHeight="1" x14ac:dyDescent="0.2">
      <c r="A691" s="983">
        <f t="shared" si="18"/>
        <v>23</v>
      </c>
      <c r="B691" s="878">
        <v>3404399</v>
      </c>
      <c r="C691" s="919" t="s">
        <v>960</v>
      </c>
      <c r="D691" s="975">
        <v>2</v>
      </c>
      <c r="E691" s="975"/>
      <c r="F691" s="975">
        <v>0.97</v>
      </c>
      <c r="G691" s="996"/>
      <c r="H691" s="1056"/>
      <c r="I691" s="1056"/>
      <c r="J691" s="1056"/>
      <c r="K691" s="1056"/>
      <c r="L691" s="1056"/>
      <c r="M691" s="1056"/>
      <c r="N691" s="1056"/>
      <c r="O691" s="1056"/>
      <c r="P691" s="1056"/>
      <c r="Q691" s="1056"/>
      <c r="R691" s="1056"/>
      <c r="S691" s="296"/>
      <c r="T691" s="294"/>
      <c r="U691" s="294"/>
      <c r="V691" s="294"/>
      <c r="W691" s="84"/>
      <c r="X691" s="85"/>
      <c r="Y691" s="295"/>
      <c r="Z691" s="1056"/>
      <c r="AA691" s="1056"/>
      <c r="AB691" s="1056"/>
      <c r="AC691" s="1056"/>
      <c r="AD691" s="1056"/>
      <c r="AE691" s="1056"/>
      <c r="AF691" s="1056"/>
      <c r="AG691" s="1056"/>
      <c r="AH691" s="1056"/>
      <c r="AI691" s="1056"/>
      <c r="AJ691" s="1056"/>
      <c r="AK691" s="1056"/>
      <c r="AL691" s="1056"/>
      <c r="AM691" s="1056"/>
      <c r="AN691" s="1056"/>
      <c r="AO691" s="1056"/>
      <c r="AP691" s="1056"/>
      <c r="AQ691" s="1056"/>
      <c r="AR691" s="1056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</row>
    <row r="692" spans="1:86" s="53" customFormat="1" ht="28.9" hidden="1" customHeight="1" x14ac:dyDescent="0.2">
      <c r="A692" s="983">
        <f t="shared" si="18"/>
        <v>24</v>
      </c>
      <c r="B692" s="878">
        <v>3404398</v>
      </c>
      <c r="C692" s="919" t="s">
        <v>961</v>
      </c>
      <c r="D692" s="975">
        <v>2.5</v>
      </c>
      <c r="E692" s="975"/>
      <c r="F692" s="975">
        <v>1.08</v>
      </c>
      <c r="G692" s="996"/>
      <c r="H692" s="1056"/>
      <c r="I692" s="1056"/>
      <c r="J692" s="1056"/>
      <c r="K692" s="1056"/>
      <c r="L692" s="1056"/>
      <c r="M692" s="1056"/>
      <c r="N692" s="1056"/>
      <c r="O692" s="1056"/>
      <c r="P692" s="1056"/>
      <c r="Q692" s="1056"/>
      <c r="R692" s="1056"/>
      <c r="S692" s="296"/>
      <c r="T692" s="294"/>
      <c r="U692" s="294"/>
      <c r="V692" s="294"/>
      <c r="W692" s="84"/>
      <c r="X692" s="85"/>
      <c r="Y692" s="295"/>
      <c r="Z692" s="1056"/>
      <c r="AA692" s="1056"/>
      <c r="AB692" s="1056"/>
      <c r="AC692" s="1056"/>
      <c r="AD692" s="1056"/>
      <c r="AE692" s="1056"/>
      <c r="AF692" s="1056"/>
      <c r="AG692" s="1056"/>
      <c r="AH692" s="1056"/>
      <c r="AI692" s="1056"/>
      <c r="AJ692" s="1056"/>
      <c r="AK692" s="1056"/>
      <c r="AL692" s="1056"/>
      <c r="AM692" s="1056"/>
      <c r="AN692" s="1056"/>
      <c r="AO692" s="1056"/>
      <c r="AP692" s="1056"/>
      <c r="AQ692" s="1056"/>
      <c r="AR692" s="1056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</row>
    <row r="693" spans="1:86" s="53" customFormat="1" ht="21.75" hidden="1" customHeight="1" x14ac:dyDescent="0.2">
      <c r="A693" s="983"/>
      <c r="B693" s="1056"/>
      <c r="C693" s="994"/>
      <c r="D693" s="996"/>
      <c r="E693" s="996"/>
      <c r="F693" s="996"/>
      <c r="G693" s="996"/>
      <c r="H693" s="1056"/>
      <c r="I693" s="1056"/>
      <c r="J693" s="1056"/>
      <c r="K693" s="1056"/>
      <c r="L693" s="1056"/>
      <c r="M693" s="1056"/>
      <c r="N693" s="1056"/>
      <c r="O693" s="1056"/>
      <c r="P693" s="1056"/>
      <c r="Q693" s="1056"/>
      <c r="R693" s="1056"/>
      <c r="S693" s="296"/>
      <c r="T693" s="294"/>
      <c r="U693" s="294"/>
      <c r="V693" s="294"/>
      <c r="W693" s="84"/>
      <c r="X693" s="85"/>
      <c r="Y693" s="295"/>
      <c r="Z693" s="1056"/>
      <c r="AA693" s="1056"/>
      <c r="AB693" s="1056"/>
      <c r="AC693" s="1056"/>
      <c r="AD693" s="1056"/>
      <c r="AE693" s="1056"/>
      <c r="AF693" s="1056"/>
      <c r="AG693" s="1056"/>
      <c r="AH693" s="1056"/>
      <c r="AI693" s="1056"/>
      <c r="AJ693" s="1056"/>
      <c r="AK693" s="1056"/>
      <c r="AL693" s="1056"/>
      <c r="AM693" s="1056"/>
      <c r="AN693" s="1056"/>
      <c r="AO693" s="1056"/>
      <c r="AP693" s="1056"/>
      <c r="AQ693" s="1056"/>
      <c r="AR693" s="1056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</row>
    <row r="694" spans="1:86" s="53" customFormat="1" ht="21.75" hidden="1" customHeight="1" x14ac:dyDescent="0.2">
      <c r="A694" s="983"/>
      <c r="B694" s="878"/>
      <c r="C694" s="136" t="s">
        <v>962</v>
      </c>
      <c r="D694" s="137">
        <f>SUM(D695:D787)</f>
        <v>92.495199999999983</v>
      </c>
      <c r="E694" s="138">
        <f t="shared" ref="E694:G694" si="19">SUM(E695:E787)</f>
        <v>0</v>
      </c>
      <c r="F694" s="137">
        <f t="shared" si="19"/>
        <v>86.225400000000022</v>
      </c>
      <c r="G694" s="138">
        <f t="shared" si="19"/>
        <v>0</v>
      </c>
      <c r="H694" s="1056"/>
      <c r="I694" s="1056"/>
      <c r="J694" s="1056"/>
      <c r="K694" s="1056"/>
      <c r="L694" s="1056"/>
      <c r="M694" s="1056"/>
      <c r="N694" s="1056"/>
      <c r="O694" s="1056"/>
      <c r="P694" s="1056"/>
      <c r="Q694" s="1056"/>
      <c r="R694" s="1056"/>
      <c r="S694" s="296"/>
      <c r="T694" s="294"/>
      <c r="U694" s="294"/>
      <c r="V694" s="294"/>
      <c r="W694" s="84"/>
      <c r="X694" s="85"/>
      <c r="Y694" s="295"/>
      <c r="Z694" s="1056"/>
      <c r="AA694" s="1056"/>
      <c r="AB694" s="1056"/>
      <c r="AC694" s="1056"/>
      <c r="AD694" s="1056"/>
      <c r="AE694" s="1056"/>
      <c r="AF694" s="1056"/>
      <c r="AG694" s="1056"/>
      <c r="AH694" s="1056"/>
      <c r="AI694" s="1056"/>
      <c r="AJ694" s="1056"/>
      <c r="AK694" s="1056"/>
      <c r="AL694" s="1056"/>
      <c r="AM694" s="1056"/>
      <c r="AN694" s="1056"/>
      <c r="AO694" s="1056"/>
      <c r="AP694" s="1056"/>
      <c r="AQ694" s="1056"/>
      <c r="AR694" s="1056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</row>
    <row r="695" spans="1:86" s="53" customFormat="1" ht="21.75" hidden="1" customHeight="1" x14ac:dyDescent="0.2">
      <c r="A695" s="983">
        <v>1</v>
      </c>
      <c r="B695" s="878">
        <v>3405548</v>
      </c>
      <c r="C695" s="919" t="s">
        <v>126</v>
      </c>
      <c r="D695" s="975">
        <v>1.1399999999999999</v>
      </c>
      <c r="E695" s="1139"/>
      <c r="F695" s="975">
        <v>1.1399999999999999</v>
      </c>
      <c r="G695" s="996"/>
      <c r="H695" s="1056"/>
      <c r="I695" s="1056"/>
      <c r="J695" s="1056"/>
      <c r="K695" s="1056"/>
      <c r="L695" s="1056"/>
      <c r="M695" s="1056"/>
      <c r="N695" s="1056"/>
      <c r="O695" s="1056"/>
      <c r="P695" s="1056"/>
      <c r="Q695" s="1056"/>
      <c r="R695" s="1056"/>
      <c r="S695" s="296"/>
      <c r="T695" s="294"/>
      <c r="U695" s="294"/>
      <c r="V695" s="294"/>
      <c r="W695" s="84"/>
      <c r="X695" s="85"/>
      <c r="Y695" s="295"/>
      <c r="Z695" s="1056"/>
      <c r="AA695" s="1056"/>
      <c r="AB695" s="1056"/>
      <c r="AC695" s="1056"/>
      <c r="AD695" s="1056"/>
      <c r="AE695" s="1056"/>
      <c r="AF695" s="1056"/>
      <c r="AG695" s="1056"/>
      <c r="AH695" s="1056"/>
      <c r="AI695" s="1056"/>
      <c r="AJ695" s="1056"/>
      <c r="AK695" s="1056"/>
      <c r="AL695" s="1056"/>
      <c r="AM695" s="1056"/>
      <c r="AN695" s="1056"/>
      <c r="AO695" s="1056"/>
      <c r="AP695" s="1056"/>
      <c r="AQ695" s="1056"/>
      <c r="AR695" s="1056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</row>
    <row r="696" spans="1:86" s="53" customFormat="1" ht="21.75" hidden="1" customHeight="1" x14ac:dyDescent="0.2">
      <c r="A696" s="983">
        <f>A695+1</f>
        <v>2</v>
      </c>
      <c r="B696" s="878">
        <v>3405463</v>
      </c>
      <c r="C696" s="919" t="s">
        <v>127</v>
      </c>
      <c r="D696" s="975">
        <v>2.585</v>
      </c>
      <c r="E696" s="1139"/>
      <c r="F696" s="975">
        <v>2.585</v>
      </c>
      <c r="G696" s="996"/>
      <c r="H696" s="1056"/>
      <c r="I696" s="1056"/>
      <c r="J696" s="1056"/>
      <c r="K696" s="1056"/>
      <c r="L696" s="1056"/>
      <c r="M696" s="1056"/>
      <c r="N696" s="1056"/>
      <c r="O696" s="1056"/>
      <c r="P696" s="1056"/>
      <c r="Q696" s="1056"/>
      <c r="R696" s="1056"/>
      <c r="S696" s="296"/>
      <c r="T696" s="294"/>
      <c r="U696" s="294"/>
      <c r="V696" s="294"/>
      <c r="W696" s="84"/>
      <c r="X696" s="85"/>
      <c r="Y696" s="295"/>
      <c r="Z696" s="1056"/>
      <c r="AA696" s="1056"/>
      <c r="AB696" s="1056"/>
      <c r="AC696" s="1056"/>
      <c r="AD696" s="1056"/>
      <c r="AE696" s="1056"/>
      <c r="AF696" s="1056"/>
      <c r="AG696" s="1056"/>
      <c r="AH696" s="1056"/>
      <c r="AI696" s="1056"/>
      <c r="AJ696" s="1056"/>
      <c r="AK696" s="1056"/>
      <c r="AL696" s="1056"/>
      <c r="AM696" s="1056"/>
      <c r="AN696" s="1056"/>
      <c r="AO696" s="1056"/>
      <c r="AP696" s="1056"/>
      <c r="AQ696" s="1056"/>
      <c r="AR696" s="1056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</row>
    <row r="697" spans="1:86" s="53" customFormat="1" ht="21.75" hidden="1" customHeight="1" x14ac:dyDescent="0.2">
      <c r="A697" s="983">
        <f t="shared" ref="A697:A760" si="20">A696+1</f>
        <v>3</v>
      </c>
      <c r="B697" s="878">
        <v>340562</v>
      </c>
      <c r="C697" s="919" t="s">
        <v>128</v>
      </c>
      <c r="D697" s="975">
        <v>3.3</v>
      </c>
      <c r="E697" s="1139"/>
      <c r="F697" s="975">
        <v>3.3</v>
      </c>
      <c r="G697" s="996"/>
      <c r="H697" s="1056"/>
      <c r="I697" s="1056"/>
      <c r="J697" s="1056"/>
      <c r="K697" s="1056"/>
      <c r="L697" s="1056"/>
      <c r="M697" s="1056"/>
      <c r="N697" s="1056"/>
      <c r="O697" s="1056"/>
      <c r="P697" s="1056"/>
      <c r="Q697" s="1056"/>
      <c r="R697" s="1056"/>
      <c r="S697" s="296"/>
      <c r="T697" s="294"/>
      <c r="U697" s="294"/>
      <c r="V697" s="294"/>
      <c r="W697" s="84"/>
      <c r="X697" s="85"/>
      <c r="Y697" s="295"/>
      <c r="Z697" s="1056"/>
      <c r="AA697" s="1056"/>
      <c r="AB697" s="1056"/>
      <c r="AC697" s="1056"/>
      <c r="AD697" s="1056"/>
      <c r="AE697" s="1056"/>
      <c r="AF697" s="1056"/>
      <c r="AG697" s="1056"/>
      <c r="AH697" s="1056"/>
      <c r="AI697" s="1056"/>
      <c r="AJ697" s="1056"/>
      <c r="AK697" s="1056"/>
      <c r="AL697" s="1056"/>
      <c r="AM697" s="1056"/>
      <c r="AN697" s="1056"/>
      <c r="AO697" s="1056"/>
      <c r="AP697" s="1056"/>
      <c r="AQ697" s="1056"/>
      <c r="AR697" s="1056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</row>
    <row r="698" spans="1:86" s="53" customFormat="1" ht="21.75" hidden="1" customHeight="1" x14ac:dyDescent="0.2">
      <c r="A698" s="983">
        <f t="shared" si="20"/>
        <v>4</v>
      </c>
      <c r="B698" s="878">
        <v>3405484</v>
      </c>
      <c r="C698" s="919" t="s">
        <v>129</v>
      </c>
      <c r="D698" s="975">
        <v>7.35</v>
      </c>
      <c r="E698" s="1139"/>
      <c r="F698" s="975">
        <v>7.35</v>
      </c>
      <c r="G698" s="996"/>
      <c r="H698" s="1056"/>
      <c r="I698" s="1056"/>
      <c r="J698" s="1056"/>
      <c r="K698" s="1056"/>
      <c r="L698" s="1056"/>
      <c r="M698" s="1056"/>
      <c r="N698" s="1056"/>
      <c r="O698" s="1056"/>
      <c r="P698" s="1056"/>
      <c r="Q698" s="1056"/>
      <c r="R698" s="1056"/>
      <c r="S698" s="296"/>
      <c r="T698" s="294"/>
      <c r="U698" s="294"/>
      <c r="V698" s="294"/>
      <c r="W698" s="84"/>
      <c r="X698" s="85"/>
      <c r="Y698" s="295"/>
      <c r="Z698" s="1056"/>
      <c r="AA698" s="1056"/>
      <c r="AB698" s="1056"/>
      <c r="AC698" s="1056"/>
      <c r="AD698" s="1056"/>
      <c r="AE698" s="1056"/>
      <c r="AF698" s="1056"/>
      <c r="AG698" s="1056"/>
      <c r="AH698" s="1056"/>
      <c r="AI698" s="1056"/>
      <c r="AJ698" s="1056"/>
      <c r="AK698" s="1056"/>
      <c r="AL698" s="1056"/>
      <c r="AM698" s="1056"/>
      <c r="AN698" s="1056"/>
      <c r="AO698" s="1056"/>
      <c r="AP698" s="1056"/>
      <c r="AQ698" s="1056"/>
      <c r="AR698" s="1056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</row>
    <row r="699" spans="1:86" s="53" customFormat="1" ht="21.75" hidden="1" customHeight="1" x14ac:dyDescent="0.2">
      <c r="A699" s="983">
        <f t="shared" si="20"/>
        <v>5</v>
      </c>
      <c r="B699" s="878">
        <v>3405524</v>
      </c>
      <c r="C699" s="919" t="s">
        <v>963</v>
      </c>
      <c r="D699" s="975">
        <v>1.752</v>
      </c>
      <c r="E699" s="1139"/>
      <c r="F699" s="975">
        <v>1.752</v>
      </c>
      <c r="G699" s="996"/>
      <c r="H699" s="1056"/>
      <c r="I699" s="1056"/>
      <c r="J699" s="1056"/>
      <c r="K699" s="1056"/>
      <c r="L699" s="1056"/>
      <c r="M699" s="1056"/>
      <c r="N699" s="1056"/>
      <c r="O699" s="1056"/>
      <c r="P699" s="1056"/>
      <c r="Q699" s="1056"/>
      <c r="R699" s="1056"/>
      <c r="S699" s="296"/>
      <c r="T699" s="294"/>
      <c r="U699" s="294"/>
      <c r="V699" s="294"/>
      <c r="W699" s="84"/>
      <c r="X699" s="85"/>
      <c r="Y699" s="295"/>
      <c r="Z699" s="1056"/>
      <c r="AA699" s="1056"/>
      <c r="AB699" s="1056"/>
      <c r="AC699" s="1056"/>
      <c r="AD699" s="1056"/>
      <c r="AE699" s="1056"/>
      <c r="AF699" s="1056"/>
      <c r="AG699" s="1056"/>
      <c r="AH699" s="1056"/>
      <c r="AI699" s="1056"/>
      <c r="AJ699" s="1056"/>
      <c r="AK699" s="1056"/>
      <c r="AL699" s="1056"/>
      <c r="AM699" s="1056"/>
      <c r="AN699" s="1056"/>
      <c r="AO699" s="1056"/>
      <c r="AP699" s="1056"/>
      <c r="AQ699" s="1056"/>
      <c r="AR699" s="1056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</row>
    <row r="700" spans="1:86" s="53" customFormat="1" ht="21.75" hidden="1" customHeight="1" x14ac:dyDescent="0.2">
      <c r="A700" s="983">
        <f t="shared" si="20"/>
        <v>6</v>
      </c>
      <c r="B700" s="878">
        <v>3405473</v>
      </c>
      <c r="C700" s="919" t="s">
        <v>130</v>
      </c>
      <c r="D700" s="975">
        <v>1.4</v>
      </c>
      <c r="E700" s="1139"/>
      <c r="F700" s="975">
        <v>1.4</v>
      </c>
      <c r="G700" s="996"/>
      <c r="H700" s="1056"/>
      <c r="I700" s="1056"/>
      <c r="J700" s="1056"/>
      <c r="K700" s="1056"/>
      <c r="L700" s="1056"/>
      <c r="M700" s="1056"/>
      <c r="N700" s="1056"/>
      <c r="O700" s="1056"/>
      <c r="P700" s="1056"/>
      <c r="Q700" s="1056"/>
      <c r="R700" s="1056"/>
      <c r="S700" s="296"/>
      <c r="T700" s="294"/>
      <c r="U700" s="294"/>
      <c r="V700" s="294"/>
      <c r="W700" s="84"/>
      <c r="X700" s="85"/>
      <c r="Y700" s="295"/>
      <c r="Z700" s="1056"/>
      <c r="AA700" s="1056"/>
      <c r="AB700" s="1056"/>
      <c r="AC700" s="1056"/>
      <c r="AD700" s="1056"/>
      <c r="AE700" s="1056"/>
      <c r="AF700" s="1056"/>
      <c r="AG700" s="1056"/>
      <c r="AH700" s="1056"/>
      <c r="AI700" s="1056"/>
      <c r="AJ700" s="1056"/>
      <c r="AK700" s="1056"/>
      <c r="AL700" s="1056"/>
      <c r="AM700" s="1056"/>
      <c r="AN700" s="1056"/>
      <c r="AO700" s="1056"/>
      <c r="AP700" s="1056"/>
      <c r="AQ700" s="1056"/>
      <c r="AR700" s="1056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</row>
    <row r="701" spans="1:86" s="53" customFormat="1" ht="21.75" hidden="1" customHeight="1" x14ac:dyDescent="0.2">
      <c r="A701" s="983">
        <f t="shared" si="20"/>
        <v>7</v>
      </c>
      <c r="B701" s="878">
        <v>3405522</v>
      </c>
      <c r="C701" s="919" t="s">
        <v>964</v>
      </c>
      <c r="D701" s="975">
        <v>1.2</v>
      </c>
      <c r="E701" s="1139"/>
      <c r="F701" s="975">
        <v>1.2</v>
      </c>
      <c r="G701" s="996"/>
      <c r="H701" s="1056"/>
      <c r="I701" s="1056"/>
      <c r="J701" s="1056"/>
      <c r="K701" s="1056"/>
      <c r="L701" s="1056"/>
      <c r="M701" s="1056"/>
      <c r="N701" s="1056"/>
      <c r="O701" s="1056"/>
      <c r="P701" s="1056"/>
      <c r="Q701" s="1056"/>
      <c r="R701" s="1056"/>
      <c r="S701" s="296"/>
      <c r="T701" s="294"/>
      <c r="U701" s="294"/>
      <c r="V701" s="294"/>
      <c r="W701" s="84"/>
      <c r="X701" s="85"/>
      <c r="Y701" s="295"/>
      <c r="Z701" s="1056"/>
      <c r="AA701" s="1056"/>
      <c r="AB701" s="1056"/>
      <c r="AC701" s="1056"/>
      <c r="AD701" s="1056"/>
      <c r="AE701" s="1056"/>
      <c r="AF701" s="1056"/>
      <c r="AG701" s="1056"/>
      <c r="AH701" s="1056"/>
      <c r="AI701" s="1056"/>
      <c r="AJ701" s="1056"/>
      <c r="AK701" s="1056"/>
      <c r="AL701" s="1056"/>
      <c r="AM701" s="1056"/>
      <c r="AN701" s="1056"/>
      <c r="AO701" s="1056"/>
      <c r="AP701" s="1056"/>
      <c r="AQ701" s="1056"/>
      <c r="AR701" s="1056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</row>
    <row r="702" spans="1:86" s="53" customFormat="1" ht="21.75" hidden="1" customHeight="1" x14ac:dyDescent="0.2">
      <c r="A702" s="983">
        <f t="shared" si="20"/>
        <v>8</v>
      </c>
      <c r="B702" s="878">
        <v>3405472</v>
      </c>
      <c r="C702" s="919" t="s">
        <v>131</v>
      </c>
      <c r="D702" s="975">
        <v>1.98</v>
      </c>
      <c r="E702" s="1139"/>
      <c r="F702" s="975">
        <v>1.98</v>
      </c>
      <c r="G702" s="996"/>
      <c r="H702" s="1056"/>
      <c r="I702" s="1056"/>
      <c r="J702" s="1056"/>
      <c r="K702" s="1056"/>
      <c r="L702" s="1056"/>
      <c r="M702" s="1056"/>
      <c r="N702" s="1056"/>
      <c r="O702" s="1056"/>
      <c r="P702" s="1056"/>
      <c r="Q702" s="1056"/>
      <c r="R702" s="1056"/>
      <c r="S702" s="296"/>
      <c r="T702" s="294"/>
      <c r="U702" s="294"/>
      <c r="V702" s="294"/>
      <c r="W702" s="84"/>
      <c r="X702" s="85"/>
      <c r="Y702" s="295"/>
      <c r="Z702" s="1056"/>
      <c r="AA702" s="1056"/>
      <c r="AB702" s="1056"/>
      <c r="AC702" s="1056"/>
      <c r="AD702" s="1056"/>
      <c r="AE702" s="1056"/>
      <c r="AF702" s="1056"/>
      <c r="AG702" s="1056"/>
      <c r="AH702" s="1056"/>
      <c r="AI702" s="1056"/>
      <c r="AJ702" s="1056"/>
      <c r="AK702" s="1056"/>
      <c r="AL702" s="1056"/>
      <c r="AM702" s="1056"/>
      <c r="AN702" s="1056"/>
      <c r="AO702" s="1056"/>
      <c r="AP702" s="1056"/>
      <c r="AQ702" s="1056"/>
      <c r="AR702" s="1056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</row>
    <row r="703" spans="1:86" s="53" customFormat="1" ht="21.75" hidden="1" customHeight="1" x14ac:dyDescent="0.2">
      <c r="A703" s="983">
        <f t="shared" si="20"/>
        <v>9</v>
      </c>
      <c r="B703" s="878">
        <v>3405467</v>
      </c>
      <c r="C703" s="919" t="s">
        <v>132</v>
      </c>
      <c r="D703" s="975">
        <v>1.3819999999999999</v>
      </c>
      <c r="E703" s="1139"/>
      <c r="F703" s="975">
        <v>1.3819999999999999</v>
      </c>
      <c r="G703" s="996"/>
      <c r="H703" s="1056"/>
      <c r="I703" s="1056"/>
      <c r="J703" s="1056"/>
      <c r="K703" s="1056"/>
      <c r="L703" s="1056"/>
      <c r="M703" s="1056"/>
      <c r="N703" s="1056"/>
      <c r="O703" s="1056"/>
      <c r="P703" s="1056"/>
      <c r="Q703" s="1056"/>
      <c r="R703" s="1056"/>
      <c r="S703" s="296"/>
      <c r="T703" s="294"/>
      <c r="U703" s="294"/>
      <c r="V703" s="294"/>
      <c r="W703" s="84"/>
      <c r="X703" s="85"/>
      <c r="Y703" s="295"/>
      <c r="Z703" s="1056"/>
      <c r="AA703" s="1056"/>
      <c r="AB703" s="1056"/>
      <c r="AC703" s="1056"/>
      <c r="AD703" s="1056"/>
      <c r="AE703" s="1056"/>
      <c r="AF703" s="1056"/>
      <c r="AG703" s="1056"/>
      <c r="AH703" s="1056"/>
      <c r="AI703" s="1056"/>
      <c r="AJ703" s="1056"/>
      <c r="AK703" s="1056"/>
      <c r="AL703" s="1056"/>
      <c r="AM703" s="1056"/>
      <c r="AN703" s="1056"/>
      <c r="AO703" s="1056"/>
      <c r="AP703" s="1056"/>
      <c r="AQ703" s="1056"/>
      <c r="AR703" s="1056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</row>
    <row r="704" spans="1:86" s="53" customFormat="1" ht="21.75" hidden="1" customHeight="1" x14ac:dyDescent="0.2">
      <c r="A704" s="983">
        <f t="shared" si="20"/>
        <v>10</v>
      </c>
      <c r="B704" s="878">
        <v>3405545</v>
      </c>
      <c r="C704" s="919" t="s">
        <v>626</v>
      </c>
      <c r="D704" s="975">
        <v>0.69399999999999995</v>
      </c>
      <c r="E704" s="1139"/>
      <c r="F704" s="975">
        <v>0.69399999999999995</v>
      </c>
      <c r="G704" s="996"/>
      <c r="H704" s="1056"/>
      <c r="I704" s="1056"/>
      <c r="J704" s="1056"/>
      <c r="K704" s="1056"/>
      <c r="L704" s="1056"/>
      <c r="M704" s="1056"/>
      <c r="N704" s="1056"/>
      <c r="O704" s="1056"/>
      <c r="P704" s="1056"/>
      <c r="Q704" s="1056"/>
      <c r="R704" s="1056"/>
      <c r="S704" s="296"/>
      <c r="T704" s="294"/>
      <c r="U704" s="294"/>
      <c r="V704" s="294"/>
      <c r="W704" s="84"/>
      <c r="X704" s="85"/>
      <c r="Y704" s="295"/>
      <c r="Z704" s="1056"/>
      <c r="AA704" s="1056"/>
      <c r="AB704" s="1056"/>
      <c r="AC704" s="1056"/>
      <c r="AD704" s="1056"/>
      <c r="AE704" s="1056"/>
      <c r="AF704" s="1056"/>
      <c r="AG704" s="1056"/>
      <c r="AH704" s="1056"/>
      <c r="AI704" s="1056"/>
      <c r="AJ704" s="1056"/>
      <c r="AK704" s="1056"/>
      <c r="AL704" s="1056"/>
      <c r="AM704" s="1056"/>
      <c r="AN704" s="1056"/>
      <c r="AO704" s="1056"/>
      <c r="AP704" s="1056"/>
      <c r="AQ704" s="1056"/>
      <c r="AR704" s="1056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</row>
    <row r="705" spans="1:86" s="53" customFormat="1" ht="21.75" hidden="1" customHeight="1" x14ac:dyDescent="0.2">
      <c r="A705" s="983">
        <f t="shared" si="20"/>
        <v>11</v>
      </c>
      <c r="B705" s="878">
        <v>3405495</v>
      </c>
      <c r="C705" s="919" t="s">
        <v>630</v>
      </c>
      <c r="D705" s="975">
        <v>3.7349999999999999</v>
      </c>
      <c r="E705" s="1139"/>
      <c r="F705" s="975">
        <v>1.5</v>
      </c>
      <c r="G705" s="996"/>
      <c r="H705" s="1056"/>
      <c r="I705" s="1056"/>
      <c r="J705" s="1056"/>
      <c r="K705" s="1056"/>
      <c r="L705" s="1056"/>
      <c r="M705" s="1056"/>
      <c r="N705" s="1056"/>
      <c r="O705" s="1056"/>
      <c r="P705" s="1056"/>
      <c r="Q705" s="1056"/>
      <c r="R705" s="1056"/>
      <c r="S705" s="296"/>
      <c r="T705" s="294"/>
      <c r="U705" s="294"/>
      <c r="V705" s="294"/>
      <c r="W705" s="84"/>
      <c r="X705" s="85"/>
      <c r="Y705" s="295"/>
      <c r="Z705" s="1056"/>
      <c r="AA705" s="1056"/>
      <c r="AB705" s="1056"/>
      <c r="AC705" s="1056"/>
      <c r="AD705" s="1056"/>
      <c r="AE705" s="1056"/>
      <c r="AF705" s="1056"/>
      <c r="AG705" s="1056"/>
      <c r="AH705" s="1056"/>
      <c r="AI705" s="1056"/>
      <c r="AJ705" s="1056"/>
      <c r="AK705" s="1056"/>
      <c r="AL705" s="1056"/>
      <c r="AM705" s="1056"/>
      <c r="AN705" s="1056"/>
      <c r="AO705" s="1056"/>
      <c r="AP705" s="1056"/>
      <c r="AQ705" s="1056"/>
      <c r="AR705" s="1056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</row>
    <row r="706" spans="1:86" s="53" customFormat="1" ht="21.75" hidden="1" customHeight="1" x14ac:dyDescent="0.2">
      <c r="A706" s="983">
        <f t="shared" si="20"/>
        <v>12</v>
      </c>
      <c r="B706" s="878">
        <v>3405456</v>
      </c>
      <c r="C706" s="919" t="s">
        <v>631</v>
      </c>
      <c r="D706" s="975">
        <v>1.05</v>
      </c>
      <c r="E706" s="1139"/>
      <c r="F706" s="975">
        <v>1.05</v>
      </c>
      <c r="G706" s="996"/>
      <c r="H706" s="1056"/>
      <c r="I706" s="1056"/>
      <c r="J706" s="1056"/>
      <c r="K706" s="1056"/>
      <c r="L706" s="1056"/>
      <c r="M706" s="1056"/>
      <c r="N706" s="1056"/>
      <c r="O706" s="1056"/>
      <c r="P706" s="1056"/>
      <c r="Q706" s="1056"/>
      <c r="R706" s="1056"/>
      <c r="S706" s="296"/>
      <c r="T706" s="294"/>
      <c r="U706" s="294"/>
      <c r="V706" s="294"/>
      <c r="W706" s="84"/>
      <c r="X706" s="85"/>
      <c r="Y706" s="295"/>
      <c r="Z706" s="1056"/>
      <c r="AA706" s="1056"/>
      <c r="AB706" s="1056"/>
      <c r="AC706" s="1056"/>
      <c r="AD706" s="1056"/>
      <c r="AE706" s="1056"/>
      <c r="AF706" s="1056"/>
      <c r="AG706" s="1056"/>
      <c r="AH706" s="1056"/>
      <c r="AI706" s="1056"/>
      <c r="AJ706" s="1056"/>
      <c r="AK706" s="1056"/>
      <c r="AL706" s="1056"/>
      <c r="AM706" s="1056"/>
      <c r="AN706" s="1056"/>
      <c r="AO706" s="1056"/>
      <c r="AP706" s="1056"/>
      <c r="AQ706" s="1056"/>
      <c r="AR706" s="1056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</row>
    <row r="707" spans="1:86" s="53" customFormat="1" ht="21.75" hidden="1" customHeight="1" x14ac:dyDescent="0.2">
      <c r="A707" s="983">
        <f t="shared" si="20"/>
        <v>13</v>
      </c>
      <c r="B707" s="878">
        <v>3405477</v>
      </c>
      <c r="C707" s="919" t="s">
        <v>654</v>
      </c>
      <c r="D707" s="975">
        <v>2.93</v>
      </c>
      <c r="E707" s="1139"/>
      <c r="F707" s="975">
        <v>2.93</v>
      </c>
      <c r="G707" s="996"/>
      <c r="H707" s="1056"/>
      <c r="I707" s="1056"/>
      <c r="J707" s="1056"/>
      <c r="K707" s="1056"/>
      <c r="L707" s="1056"/>
      <c r="M707" s="1056"/>
      <c r="N707" s="1056"/>
      <c r="O707" s="1056"/>
      <c r="P707" s="1056"/>
      <c r="Q707" s="1056"/>
      <c r="R707" s="1056"/>
      <c r="S707" s="296"/>
      <c r="T707" s="294"/>
      <c r="U707" s="294"/>
      <c r="V707" s="294"/>
      <c r="W707" s="84"/>
      <c r="X707" s="85"/>
      <c r="Y707" s="295"/>
      <c r="Z707" s="1056"/>
      <c r="AA707" s="1056"/>
      <c r="AB707" s="1056"/>
      <c r="AC707" s="1056"/>
      <c r="AD707" s="1056"/>
      <c r="AE707" s="1056"/>
      <c r="AF707" s="1056"/>
      <c r="AG707" s="1056"/>
      <c r="AH707" s="1056"/>
      <c r="AI707" s="1056"/>
      <c r="AJ707" s="1056"/>
      <c r="AK707" s="1056"/>
      <c r="AL707" s="1056"/>
      <c r="AM707" s="1056"/>
      <c r="AN707" s="1056"/>
      <c r="AO707" s="1056"/>
      <c r="AP707" s="1056"/>
      <c r="AQ707" s="1056"/>
      <c r="AR707" s="1056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</row>
    <row r="708" spans="1:86" s="53" customFormat="1" ht="21.75" hidden="1" customHeight="1" x14ac:dyDescent="0.2">
      <c r="A708" s="983">
        <f t="shared" si="20"/>
        <v>14</v>
      </c>
      <c r="B708" s="878">
        <v>3405515</v>
      </c>
      <c r="C708" s="919" t="s">
        <v>627</v>
      </c>
      <c r="D708" s="975">
        <v>4.7699999999999996</v>
      </c>
      <c r="E708" s="1139"/>
      <c r="F708" s="975">
        <v>4.7699999999999996</v>
      </c>
      <c r="G708" s="996"/>
      <c r="H708" s="1056"/>
      <c r="I708" s="1056"/>
      <c r="J708" s="1056"/>
      <c r="K708" s="1056"/>
      <c r="L708" s="1056"/>
      <c r="M708" s="1056"/>
      <c r="N708" s="1056"/>
      <c r="O708" s="1056"/>
      <c r="P708" s="1056"/>
      <c r="Q708" s="1056"/>
      <c r="R708" s="1056"/>
      <c r="S708" s="296"/>
      <c r="T708" s="294"/>
      <c r="U708" s="294"/>
      <c r="V708" s="294"/>
      <c r="W708" s="84"/>
      <c r="X708" s="85"/>
      <c r="Y708" s="295"/>
      <c r="Z708" s="1056"/>
      <c r="AA708" s="1056"/>
      <c r="AB708" s="1056"/>
      <c r="AC708" s="1056"/>
      <c r="AD708" s="1056"/>
      <c r="AE708" s="1056"/>
      <c r="AF708" s="1056"/>
      <c r="AG708" s="1056"/>
      <c r="AH708" s="1056"/>
      <c r="AI708" s="1056"/>
      <c r="AJ708" s="1056"/>
      <c r="AK708" s="1056"/>
      <c r="AL708" s="1056"/>
      <c r="AM708" s="1056"/>
      <c r="AN708" s="1056"/>
      <c r="AO708" s="1056"/>
      <c r="AP708" s="1056"/>
      <c r="AQ708" s="1056"/>
      <c r="AR708" s="1056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</row>
    <row r="709" spans="1:86" s="53" customFormat="1" ht="35.65" hidden="1" customHeight="1" x14ac:dyDescent="0.2">
      <c r="A709" s="983">
        <f t="shared" si="20"/>
        <v>15</v>
      </c>
      <c r="B709" s="878">
        <v>2242422</v>
      </c>
      <c r="C709" s="919" t="s">
        <v>492</v>
      </c>
      <c r="D709" s="975">
        <v>0.94</v>
      </c>
      <c r="E709" s="1139"/>
      <c r="F709" s="975">
        <v>0.94</v>
      </c>
      <c r="G709" s="996"/>
      <c r="H709" s="1056"/>
      <c r="I709" s="1056"/>
      <c r="J709" s="1056"/>
      <c r="K709" s="1056"/>
      <c r="L709" s="1056"/>
      <c r="M709" s="1056"/>
      <c r="N709" s="1056"/>
      <c r="O709" s="1056"/>
      <c r="P709" s="1056"/>
      <c r="Q709" s="1056"/>
      <c r="R709" s="1056"/>
      <c r="S709" s="296"/>
      <c r="T709" s="294"/>
      <c r="U709" s="294"/>
      <c r="V709" s="294"/>
      <c r="W709" s="84"/>
      <c r="X709" s="85"/>
      <c r="Y709" s="295"/>
      <c r="Z709" s="1056"/>
      <c r="AA709" s="1056"/>
      <c r="AB709" s="1056"/>
      <c r="AC709" s="1056"/>
      <c r="AD709" s="1056"/>
      <c r="AE709" s="1056"/>
      <c r="AF709" s="1056"/>
      <c r="AG709" s="1056"/>
      <c r="AH709" s="1056"/>
      <c r="AI709" s="1056"/>
      <c r="AJ709" s="1056"/>
      <c r="AK709" s="1056"/>
      <c r="AL709" s="1056"/>
      <c r="AM709" s="1056"/>
      <c r="AN709" s="1056"/>
      <c r="AO709" s="1056"/>
      <c r="AP709" s="1056"/>
      <c r="AQ709" s="1056"/>
      <c r="AR709" s="1056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</row>
    <row r="710" spans="1:86" s="53" customFormat="1" ht="35.65" hidden="1" customHeight="1" x14ac:dyDescent="0.2">
      <c r="A710" s="983">
        <f t="shared" si="20"/>
        <v>16</v>
      </c>
      <c r="B710" s="878">
        <v>2238672</v>
      </c>
      <c r="C710" s="919" t="s">
        <v>656</v>
      </c>
      <c r="D710" s="975">
        <v>0.34510000000000002</v>
      </c>
      <c r="E710" s="1139"/>
      <c r="F710" s="975">
        <v>0.34510000000000002</v>
      </c>
      <c r="G710" s="996"/>
      <c r="H710" s="1056"/>
      <c r="I710" s="1056"/>
      <c r="J710" s="1056"/>
      <c r="K710" s="1056"/>
      <c r="L710" s="1056"/>
      <c r="M710" s="1056"/>
      <c r="N710" s="1056"/>
      <c r="O710" s="1056"/>
      <c r="P710" s="1056"/>
      <c r="Q710" s="1056"/>
      <c r="R710" s="1056"/>
      <c r="S710" s="296"/>
      <c r="T710" s="294"/>
      <c r="U710" s="294"/>
      <c r="V710" s="294"/>
      <c r="W710" s="84"/>
      <c r="X710" s="85"/>
      <c r="Y710" s="295"/>
      <c r="Z710" s="1056"/>
      <c r="AA710" s="1056"/>
      <c r="AB710" s="1056"/>
      <c r="AC710" s="1056"/>
      <c r="AD710" s="1056"/>
      <c r="AE710" s="1056"/>
      <c r="AF710" s="1056"/>
      <c r="AG710" s="1056"/>
      <c r="AH710" s="1056"/>
      <c r="AI710" s="1056"/>
      <c r="AJ710" s="1056"/>
      <c r="AK710" s="1056"/>
      <c r="AL710" s="1056"/>
      <c r="AM710" s="1056"/>
      <c r="AN710" s="1056"/>
      <c r="AO710" s="1056"/>
      <c r="AP710" s="1056"/>
      <c r="AQ710" s="1056"/>
      <c r="AR710" s="1056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</row>
    <row r="711" spans="1:86" s="53" customFormat="1" ht="35.65" hidden="1" customHeight="1" x14ac:dyDescent="0.2">
      <c r="A711" s="983">
        <f t="shared" si="20"/>
        <v>17</v>
      </c>
      <c r="B711" s="878">
        <v>2241500</v>
      </c>
      <c r="C711" s="919" t="s">
        <v>657</v>
      </c>
      <c r="D711" s="975">
        <v>0.2424</v>
      </c>
      <c r="E711" s="1139"/>
      <c r="F711" s="975">
        <v>0.2424</v>
      </c>
      <c r="G711" s="996"/>
      <c r="H711" s="1056"/>
      <c r="I711" s="1056"/>
      <c r="J711" s="1056"/>
      <c r="K711" s="1056"/>
      <c r="L711" s="1056"/>
      <c r="M711" s="1056"/>
      <c r="N711" s="1056"/>
      <c r="O711" s="1056"/>
      <c r="P711" s="1056"/>
      <c r="Q711" s="1056"/>
      <c r="R711" s="1056"/>
      <c r="S711" s="296"/>
      <c r="T711" s="294"/>
      <c r="U711" s="294"/>
      <c r="V711" s="294"/>
      <c r="W711" s="84"/>
      <c r="X711" s="85"/>
      <c r="Y711" s="295"/>
      <c r="Z711" s="1056"/>
      <c r="AA711" s="1056"/>
      <c r="AB711" s="1056"/>
      <c r="AC711" s="1056"/>
      <c r="AD711" s="1056"/>
      <c r="AE711" s="1056"/>
      <c r="AF711" s="1056"/>
      <c r="AG711" s="1056"/>
      <c r="AH711" s="1056"/>
      <c r="AI711" s="1056"/>
      <c r="AJ711" s="1056"/>
      <c r="AK711" s="1056"/>
      <c r="AL711" s="1056"/>
      <c r="AM711" s="1056"/>
      <c r="AN711" s="1056"/>
      <c r="AO711" s="1056"/>
      <c r="AP711" s="1056"/>
      <c r="AQ711" s="1056"/>
      <c r="AR711" s="1056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</row>
    <row r="712" spans="1:86" s="53" customFormat="1" ht="35.65" hidden="1" customHeight="1" x14ac:dyDescent="0.2">
      <c r="A712" s="983">
        <f t="shared" si="20"/>
        <v>18</v>
      </c>
      <c r="B712" s="878" t="s">
        <v>632</v>
      </c>
      <c r="C712" s="919" t="s">
        <v>633</v>
      </c>
      <c r="D712" s="975">
        <v>0.36370000000000002</v>
      </c>
      <c r="E712" s="1139"/>
      <c r="F712" s="975">
        <v>0.36370000000000002</v>
      </c>
      <c r="G712" s="996"/>
      <c r="H712" s="1056"/>
      <c r="I712" s="1056"/>
      <c r="J712" s="1056"/>
      <c r="K712" s="1056"/>
      <c r="L712" s="1056"/>
      <c r="M712" s="1056"/>
      <c r="N712" s="1056"/>
      <c r="O712" s="1056"/>
      <c r="P712" s="1056"/>
      <c r="Q712" s="1056"/>
      <c r="R712" s="1056"/>
      <c r="S712" s="296"/>
      <c r="T712" s="294"/>
      <c r="U712" s="294"/>
      <c r="V712" s="294"/>
      <c r="W712" s="84"/>
      <c r="X712" s="85"/>
      <c r="Y712" s="295"/>
      <c r="Z712" s="1056"/>
      <c r="AA712" s="1056"/>
      <c r="AB712" s="1056"/>
      <c r="AC712" s="1056"/>
      <c r="AD712" s="1056"/>
      <c r="AE712" s="1056"/>
      <c r="AF712" s="1056"/>
      <c r="AG712" s="1056"/>
      <c r="AH712" s="1056"/>
      <c r="AI712" s="1056"/>
      <c r="AJ712" s="1056"/>
      <c r="AK712" s="1056"/>
      <c r="AL712" s="1056"/>
      <c r="AM712" s="1056"/>
      <c r="AN712" s="1056"/>
      <c r="AO712" s="1056"/>
      <c r="AP712" s="1056"/>
      <c r="AQ712" s="1056"/>
      <c r="AR712" s="1056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</row>
    <row r="713" spans="1:86" s="53" customFormat="1" ht="35.65" hidden="1" customHeight="1" x14ac:dyDescent="0.2">
      <c r="A713" s="983">
        <f t="shared" si="20"/>
        <v>19</v>
      </c>
      <c r="B713" s="878" t="s">
        <v>965</v>
      </c>
      <c r="C713" s="919" t="s">
        <v>658</v>
      </c>
      <c r="D713" s="975">
        <v>0.14319999999999999</v>
      </c>
      <c r="E713" s="1139"/>
      <c r="F713" s="975">
        <v>0.14319999999999999</v>
      </c>
      <c r="G713" s="996"/>
      <c r="H713" s="1056"/>
      <c r="I713" s="1056"/>
      <c r="J713" s="1056"/>
      <c r="K713" s="1056"/>
      <c r="L713" s="1056"/>
      <c r="M713" s="1056"/>
      <c r="N713" s="1056"/>
      <c r="O713" s="1056"/>
      <c r="P713" s="1056"/>
      <c r="Q713" s="1056"/>
      <c r="R713" s="1056"/>
      <c r="S713" s="296"/>
      <c r="T713" s="294"/>
      <c r="U713" s="294"/>
      <c r="V713" s="294"/>
      <c r="W713" s="84"/>
      <c r="X713" s="85"/>
      <c r="Y713" s="295"/>
      <c r="Z713" s="1056"/>
      <c r="AA713" s="1056"/>
      <c r="AB713" s="1056"/>
      <c r="AC713" s="1056"/>
      <c r="AD713" s="1056"/>
      <c r="AE713" s="1056"/>
      <c r="AF713" s="1056"/>
      <c r="AG713" s="1056"/>
      <c r="AH713" s="1056"/>
      <c r="AI713" s="1056"/>
      <c r="AJ713" s="1056"/>
      <c r="AK713" s="1056"/>
      <c r="AL713" s="1056"/>
      <c r="AM713" s="1056"/>
      <c r="AN713" s="1056"/>
      <c r="AO713" s="1056"/>
      <c r="AP713" s="1056"/>
      <c r="AQ713" s="1056"/>
      <c r="AR713" s="1056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</row>
    <row r="714" spans="1:86" s="53" customFormat="1" ht="35.65" hidden="1" customHeight="1" x14ac:dyDescent="0.2">
      <c r="A714" s="983">
        <f t="shared" si="20"/>
        <v>20</v>
      </c>
      <c r="B714" s="878">
        <v>2245514</v>
      </c>
      <c r="C714" s="919" t="s">
        <v>966</v>
      </c>
      <c r="D714" s="975">
        <v>0.81599999999999995</v>
      </c>
      <c r="E714" s="1139"/>
      <c r="F714" s="975">
        <v>0.81599999999999995</v>
      </c>
      <c r="G714" s="996"/>
      <c r="H714" s="1056"/>
      <c r="I714" s="1056"/>
      <c r="J714" s="1056"/>
      <c r="K714" s="1056"/>
      <c r="L714" s="1056"/>
      <c r="M714" s="1056"/>
      <c r="N714" s="1056"/>
      <c r="O714" s="1056"/>
      <c r="P714" s="1056"/>
      <c r="Q714" s="1056"/>
      <c r="R714" s="1056"/>
      <c r="S714" s="296"/>
      <c r="T714" s="294"/>
      <c r="U714" s="294"/>
      <c r="V714" s="294"/>
      <c r="W714" s="84"/>
      <c r="X714" s="85"/>
      <c r="Y714" s="295"/>
      <c r="Z714" s="1056"/>
      <c r="AA714" s="1056"/>
      <c r="AB714" s="1056"/>
      <c r="AC714" s="1056"/>
      <c r="AD714" s="1056"/>
      <c r="AE714" s="1056"/>
      <c r="AF714" s="1056"/>
      <c r="AG714" s="1056"/>
      <c r="AH714" s="1056"/>
      <c r="AI714" s="1056"/>
      <c r="AJ714" s="1056"/>
      <c r="AK714" s="1056"/>
      <c r="AL714" s="1056"/>
      <c r="AM714" s="1056"/>
      <c r="AN714" s="1056"/>
      <c r="AO714" s="1056"/>
      <c r="AP714" s="1056"/>
      <c r="AQ714" s="1056"/>
      <c r="AR714" s="1056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</row>
    <row r="715" spans="1:86" s="53" customFormat="1" ht="35.65" hidden="1" customHeight="1" x14ac:dyDescent="0.2">
      <c r="A715" s="983">
        <f t="shared" si="20"/>
        <v>21</v>
      </c>
      <c r="B715" s="878">
        <v>2239520</v>
      </c>
      <c r="C715" s="919" t="s">
        <v>493</v>
      </c>
      <c r="D715" s="975">
        <v>1.5</v>
      </c>
      <c r="E715" s="1139"/>
      <c r="F715" s="975">
        <v>1.4</v>
      </c>
      <c r="G715" s="996"/>
      <c r="H715" s="1056"/>
      <c r="I715" s="1056"/>
      <c r="J715" s="1056"/>
      <c r="K715" s="1056"/>
      <c r="L715" s="1056"/>
      <c r="M715" s="1056"/>
      <c r="N715" s="1056"/>
      <c r="O715" s="1056"/>
      <c r="P715" s="1056"/>
      <c r="Q715" s="1056"/>
      <c r="R715" s="1056"/>
      <c r="S715" s="296"/>
      <c r="T715" s="294"/>
      <c r="U715" s="294"/>
      <c r="V715" s="294"/>
      <c r="W715" s="84"/>
      <c r="X715" s="85"/>
      <c r="Y715" s="295"/>
      <c r="Z715" s="1056"/>
      <c r="AA715" s="1056"/>
      <c r="AB715" s="1056"/>
      <c r="AC715" s="1056"/>
      <c r="AD715" s="1056"/>
      <c r="AE715" s="1056"/>
      <c r="AF715" s="1056"/>
      <c r="AG715" s="1056"/>
      <c r="AH715" s="1056"/>
      <c r="AI715" s="1056"/>
      <c r="AJ715" s="1056"/>
      <c r="AK715" s="1056"/>
      <c r="AL715" s="1056"/>
      <c r="AM715" s="1056"/>
      <c r="AN715" s="1056"/>
      <c r="AO715" s="1056"/>
      <c r="AP715" s="1056"/>
      <c r="AQ715" s="1056"/>
      <c r="AR715" s="1056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</row>
    <row r="716" spans="1:86" s="53" customFormat="1" ht="35.65" hidden="1" customHeight="1" x14ac:dyDescent="0.2">
      <c r="A716" s="983">
        <f t="shared" si="20"/>
        <v>22</v>
      </c>
      <c r="B716" s="878" t="s">
        <v>312</v>
      </c>
      <c r="C716" s="919" t="s">
        <v>161</v>
      </c>
      <c r="D716" s="975">
        <v>1.5</v>
      </c>
      <c r="E716" s="1139"/>
      <c r="F716" s="975">
        <v>1.5</v>
      </c>
      <c r="G716" s="996"/>
      <c r="H716" s="1056"/>
      <c r="I716" s="1056"/>
      <c r="J716" s="1056"/>
      <c r="K716" s="1056"/>
      <c r="L716" s="1056"/>
      <c r="M716" s="1056"/>
      <c r="N716" s="1056"/>
      <c r="O716" s="1056"/>
      <c r="P716" s="1056"/>
      <c r="Q716" s="1056"/>
      <c r="R716" s="1056"/>
      <c r="S716" s="296"/>
      <c r="T716" s="294"/>
      <c r="U716" s="294"/>
      <c r="V716" s="294"/>
      <c r="W716" s="84"/>
      <c r="X716" s="85"/>
      <c r="Y716" s="295"/>
      <c r="Z716" s="1056"/>
      <c r="AA716" s="1056"/>
      <c r="AB716" s="1056"/>
      <c r="AC716" s="1056"/>
      <c r="AD716" s="1056"/>
      <c r="AE716" s="1056"/>
      <c r="AF716" s="1056"/>
      <c r="AG716" s="1056"/>
      <c r="AH716" s="1056"/>
      <c r="AI716" s="1056"/>
      <c r="AJ716" s="1056"/>
      <c r="AK716" s="1056"/>
      <c r="AL716" s="1056"/>
      <c r="AM716" s="1056"/>
      <c r="AN716" s="1056"/>
      <c r="AO716" s="1056"/>
      <c r="AP716" s="1056"/>
      <c r="AQ716" s="1056"/>
      <c r="AR716" s="1056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</row>
    <row r="717" spans="1:86" s="53" customFormat="1" ht="35.65" hidden="1" customHeight="1" x14ac:dyDescent="0.2">
      <c r="A717" s="983">
        <f t="shared" si="20"/>
        <v>23</v>
      </c>
      <c r="B717" s="878">
        <v>3413614</v>
      </c>
      <c r="C717" s="919" t="s">
        <v>162</v>
      </c>
      <c r="D717" s="975">
        <v>1.25</v>
      </c>
      <c r="E717" s="1139"/>
      <c r="F717" s="975">
        <v>1.25</v>
      </c>
      <c r="G717" s="996"/>
      <c r="H717" s="1056"/>
      <c r="I717" s="1056"/>
      <c r="J717" s="1056"/>
      <c r="K717" s="1056"/>
      <c r="L717" s="1056"/>
      <c r="M717" s="1056"/>
      <c r="N717" s="1056"/>
      <c r="O717" s="1056"/>
      <c r="P717" s="1056"/>
      <c r="Q717" s="1056"/>
      <c r="R717" s="1056"/>
      <c r="S717" s="296"/>
      <c r="T717" s="294"/>
      <c r="U717" s="294"/>
      <c r="V717" s="294"/>
      <c r="W717" s="84"/>
      <c r="X717" s="85"/>
      <c r="Y717" s="295"/>
      <c r="Z717" s="1056"/>
      <c r="AA717" s="1056"/>
      <c r="AB717" s="1056"/>
      <c r="AC717" s="1056"/>
      <c r="AD717" s="1056"/>
      <c r="AE717" s="1056"/>
      <c r="AF717" s="1056"/>
      <c r="AG717" s="1056"/>
      <c r="AH717" s="1056"/>
      <c r="AI717" s="1056"/>
      <c r="AJ717" s="1056"/>
      <c r="AK717" s="1056"/>
      <c r="AL717" s="1056"/>
      <c r="AM717" s="1056"/>
      <c r="AN717" s="1056"/>
      <c r="AO717" s="1056"/>
      <c r="AP717" s="1056"/>
      <c r="AQ717" s="1056"/>
      <c r="AR717" s="1056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</row>
    <row r="718" spans="1:86" s="53" customFormat="1" ht="35.65" hidden="1" customHeight="1" x14ac:dyDescent="0.2">
      <c r="A718" s="983">
        <f t="shared" si="20"/>
        <v>24</v>
      </c>
      <c r="B718" s="878">
        <v>2246942</v>
      </c>
      <c r="C718" s="919" t="s">
        <v>503</v>
      </c>
      <c r="D718" s="975">
        <v>1</v>
      </c>
      <c r="E718" s="1139"/>
      <c r="F718" s="975">
        <v>1</v>
      </c>
      <c r="G718" s="996"/>
      <c r="H718" s="1056"/>
      <c r="I718" s="1056"/>
      <c r="J718" s="1056"/>
      <c r="K718" s="1056"/>
      <c r="L718" s="1056"/>
      <c r="M718" s="1056"/>
      <c r="N718" s="1056"/>
      <c r="O718" s="1056"/>
      <c r="P718" s="1056"/>
      <c r="Q718" s="1056"/>
      <c r="R718" s="1056"/>
      <c r="S718" s="296"/>
      <c r="T718" s="294"/>
      <c r="U718" s="294"/>
      <c r="V718" s="294"/>
      <c r="W718" s="84"/>
      <c r="X718" s="85"/>
      <c r="Y718" s="295"/>
      <c r="Z718" s="1056"/>
      <c r="AA718" s="1056"/>
      <c r="AB718" s="1056"/>
      <c r="AC718" s="1056"/>
      <c r="AD718" s="1056"/>
      <c r="AE718" s="1056"/>
      <c r="AF718" s="1056"/>
      <c r="AG718" s="1056"/>
      <c r="AH718" s="1056"/>
      <c r="AI718" s="1056"/>
      <c r="AJ718" s="1056"/>
      <c r="AK718" s="1056"/>
      <c r="AL718" s="1056"/>
      <c r="AM718" s="1056"/>
      <c r="AN718" s="1056"/>
      <c r="AO718" s="1056"/>
      <c r="AP718" s="1056"/>
      <c r="AQ718" s="1056"/>
      <c r="AR718" s="1056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</row>
    <row r="719" spans="1:86" s="53" customFormat="1" ht="35.65" hidden="1" customHeight="1" x14ac:dyDescent="0.2">
      <c r="A719" s="983">
        <f t="shared" si="20"/>
        <v>25</v>
      </c>
      <c r="B719" s="878">
        <v>2238999</v>
      </c>
      <c r="C719" s="919" t="s">
        <v>635</v>
      </c>
      <c r="D719" s="975">
        <v>0.58099999999999996</v>
      </c>
      <c r="E719" s="1139"/>
      <c r="F719" s="975">
        <v>0.58099999999999996</v>
      </c>
      <c r="G719" s="996"/>
      <c r="H719" s="1056"/>
      <c r="I719" s="1056"/>
      <c r="J719" s="1056"/>
      <c r="K719" s="1056"/>
      <c r="L719" s="1056"/>
      <c r="M719" s="1056"/>
      <c r="N719" s="1056"/>
      <c r="O719" s="1056"/>
      <c r="P719" s="1056"/>
      <c r="Q719" s="1056"/>
      <c r="R719" s="1056"/>
      <c r="S719" s="296"/>
      <c r="T719" s="294"/>
      <c r="U719" s="294"/>
      <c r="V719" s="294"/>
      <c r="W719" s="84"/>
      <c r="X719" s="85"/>
      <c r="Y719" s="295"/>
      <c r="Z719" s="1056"/>
      <c r="AA719" s="1056"/>
      <c r="AB719" s="1056"/>
      <c r="AC719" s="1056"/>
      <c r="AD719" s="1056"/>
      <c r="AE719" s="1056"/>
      <c r="AF719" s="1056"/>
      <c r="AG719" s="1056"/>
      <c r="AH719" s="1056"/>
      <c r="AI719" s="1056"/>
      <c r="AJ719" s="1056"/>
      <c r="AK719" s="1056"/>
      <c r="AL719" s="1056"/>
      <c r="AM719" s="1056"/>
      <c r="AN719" s="1056"/>
      <c r="AO719" s="1056"/>
      <c r="AP719" s="1056"/>
      <c r="AQ719" s="1056"/>
      <c r="AR719" s="1056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</row>
    <row r="720" spans="1:86" s="53" customFormat="1" ht="35.65" hidden="1" customHeight="1" x14ac:dyDescent="0.2">
      <c r="A720" s="983">
        <f t="shared" si="20"/>
        <v>26</v>
      </c>
      <c r="B720" s="878">
        <v>2240023</v>
      </c>
      <c r="C720" s="919" t="s">
        <v>163</v>
      </c>
      <c r="D720" s="975">
        <v>0.5</v>
      </c>
      <c r="E720" s="1139"/>
      <c r="F720" s="975">
        <v>0.5</v>
      </c>
      <c r="G720" s="996"/>
      <c r="H720" s="1056"/>
      <c r="I720" s="1056"/>
      <c r="J720" s="1056"/>
      <c r="K720" s="1056"/>
      <c r="L720" s="1056"/>
      <c r="M720" s="1056"/>
      <c r="N720" s="1056"/>
      <c r="O720" s="1056"/>
      <c r="P720" s="1056"/>
      <c r="Q720" s="1056"/>
      <c r="R720" s="1056"/>
      <c r="S720" s="296"/>
      <c r="T720" s="294"/>
      <c r="U720" s="294"/>
      <c r="V720" s="294"/>
      <c r="W720" s="84"/>
      <c r="X720" s="85"/>
      <c r="Y720" s="295"/>
      <c r="Z720" s="1056"/>
      <c r="AA720" s="1056"/>
      <c r="AB720" s="1056"/>
      <c r="AC720" s="1056"/>
      <c r="AD720" s="1056"/>
      <c r="AE720" s="1056"/>
      <c r="AF720" s="1056"/>
      <c r="AG720" s="1056"/>
      <c r="AH720" s="1056"/>
      <c r="AI720" s="1056"/>
      <c r="AJ720" s="1056"/>
      <c r="AK720" s="1056"/>
      <c r="AL720" s="1056"/>
      <c r="AM720" s="1056"/>
      <c r="AN720" s="1056"/>
      <c r="AO720" s="1056"/>
      <c r="AP720" s="1056"/>
      <c r="AQ720" s="1056"/>
      <c r="AR720" s="1056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</row>
    <row r="721" spans="1:86" s="53" customFormat="1" ht="35.65" hidden="1" customHeight="1" x14ac:dyDescent="0.2">
      <c r="A721" s="983">
        <f t="shared" si="20"/>
        <v>27</v>
      </c>
      <c r="B721" s="878">
        <v>2238087</v>
      </c>
      <c r="C721" s="919" t="s">
        <v>502</v>
      </c>
      <c r="D721" s="975">
        <v>1.1308</v>
      </c>
      <c r="E721" s="1139"/>
      <c r="F721" s="975">
        <v>1.131</v>
      </c>
      <c r="G721" s="996"/>
      <c r="H721" s="1056"/>
      <c r="I721" s="1056"/>
      <c r="J721" s="1056"/>
      <c r="K721" s="1056"/>
      <c r="L721" s="1056"/>
      <c r="M721" s="1056"/>
      <c r="N721" s="1056"/>
      <c r="O721" s="1056"/>
      <c r="P721" s="1056"/>
      <c r="Q721" s="1056"/>
      <c r="R721" s="1056"/>
      <c r="S721" s="296"/>
      <c r="T721" s="294"/>
      <c r="U721" s="294"/>
      <c r="V721" s="294"/>
      <c r="W721" s="84"/>
      <c r="X721" s="85"/>
      <c r="Y721" s="295"/>
      <c r="Z721" s="1056"/>
      <c r="AA721" s="1056"/>
      <c r="AB721" s="1056"/>
      <c r="AC721" s="1056"/>
      <c r="AD721" s="1056"/>
      <c r="AE721" s="1056"/>
      <c r="AF721" s="1056"/>
      <c r="AG721" s="1056"/>
      <c r="AH721" s="1056"/>
      <c r="AI721" s="1056"/>
      <c r="AJ721" s="1056"/>
      <c r="AK721" s="1056"/>
      <c r="AL721" s="1056"/>
      <c r="AM721" s="1056"/>
      <c r="AN721" s="1056"/>
      <c r="AO721" s="1056"/>
      <c r="AP721" s="1056"/>
      <c r="AQ721" s="1056"/>
      <c r="AR721" s="1056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</row>
    <row r="722" spans="1:86" s="53" customFormat="1" ht="35.65" hidden="1" customHeight="1" x14ac:dyDescent="0.2">
      <c r="A722" s="983">
        <f t="shared" si="20"/>
        <v>28</v>
      </c>
      <c r="B722" s="878">
        <v>2244518</v>
      </c>
      <c r="C722" s="919" t="s">
        <v>499</v>
      </c>
      <c r="D722" s="975">
        <v>0.45</v>
      </c>
      <c r="E722" s="1139"/>
      <c r="F722" s="975">
        <v>0.45</v>
      </c>
      <c r="G722" s="996"/>
      <c r="H722" s="1056"/>
      <c r="I722" s="1056"/>
      <c r="J722" s="1056"/>
      <c r="K722" s="1056"/>
      <c r="L722" s="1056"/>
      <c r="M722" s="1056"/>
      <c r="N722" s="1056"/>
      <c r="O722" s="1056"/>
      <c r="P722" s="1056"/>
      <c r="Q722" s="1056"/>
      <c r="R722" s="1056"/>
      <c r="S722" s="296"/>
      <c r="T722" s="294"/>
      <c r="U722" s="294"/>
      <c r="V722" s="294"/>
      <c r="W722" s="84"/>
      <c r="X722" s="85"/>
      <c r="Y722" s="295"/>
      <c r="Z722" s="1056"/>
      <c r="AA722" s="1056"/>
      <c r="AB722" s="1056"/>
      <c r="AC722" s="1056"/>
      <c r="AD722" s="1056"/>
      <c r="AE722" s="1056"/>
      <c r="AF722" s="1056"/>
      <c r="AG722" s="1056"/>
      <c r="AH722" s="1056"/>
      <c r="AI722" s="1056"/>
      <c r="AJ722" s="1056"/>
      <c r="AK722" s="1056"/>
      <c r="AL722" s="1056"/>
      <c r="AM722" s="1056"/>
      <c r="AN722" s="1056"/>
      <c r="AO722" s="1056"/>
      <c r="AP722" s="1056"/>
      <c r="AQ722" s="1056"/>
      <c r="AR722" s="1056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</row>
    <row r="723" spans="1:86" s="53" customFormat="1" ht="35.65" hidden="1" customHeight="1" x14ac:dyDescent="0.2">
      <c r="A723" s="983">
        <f t="shared" si="20"/>
        <v>29</v>
      </c>
      <c r="B723" s="878">
        <v>2239522</v>
      </c>
      <c r="C723" s="919" t="s">
        <v>500</v>
      </c>
      <c r="D723" s="975">
        <v>1.5</v>
      </c>
      <c r="E723" s="1139"/>
      <c r="F723" s="975">
        <v>1.5</v>
      </c>
      <c r="G723" s="996"/>
      <c r="H723" s="1056"/>
      <c r="I723" s="1056"/>
      <c r="J723" s="1056"/>
      <c r="K723" s="1056"/>
      <c r="L723" s="1056"/>
      <c r="M723" s="1056"/>
      <c r="N723" s="1056"/>
      <c r="O723" s="1056"/>
      <c r="P723" s="1056"/>
      <c r="Q723" s="1056"/>
      <c r="R723" s="1056"/>
      <c r="S723" s="296"/>
      <c r="T723" s="294"/>
      <c r="U723" s="294"/>
      <c r="V723" s="294"/>
      <c r="W723" s="84"/>
      <c r="X723" s="85"/>
      <c r="Y723" s="295"/>
      <c r="Z723" s="1056"/>
      <c r="AA723" s="1056"/>
      <c r="AB723" s="1056"/>
      <c r="AC723" s="1056"/>
      <c r="AD723" s="1056"/>
      <c r="AE723" s="1056"/>
      <c r="AF723" s="1056"/>
      <c r="AG723" s="1056"/>
      <c r="AH723" s="1056"/>
      <c r="AI723" s="1056"/>
      <c r="AJ723" s="1056"/>
      <c r="AK723" s="1056"/>
      <c r="AL723" s="1056"/>
      <c r="AM723" s="1056"/>
      <c r="AN723" s="1056"/>
      <c r="AO723" s="1056"/>
      <c r="AP723" s="1056"/>
      <c r="AQ723" s="1056"/>
      <c r="AR723" s="1056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</row>
    <row r="724" spans="1:86" s="53" customFormat="1" ht="35.65" hidden="1" customHeight="1" x14ac:dyDescent="0.2">
      <c r="A724" s="983">
        <f t="shared" si="20"/>
        <v>30</v>
      </c>
      <c r="B724" s="878">
        <v>2243740</v>
      </c>
      <c r="C724" s="919" t="s">
        <v>133</v>
      </c>
      <c r="D724" s="975">
        <v>1.3</v>
      </c>
      <c r="E724" s="1139"/>
      <c r="F724" s="975">
        <v>1.3</v>
      </c>
      <c r="G724" s="996"/>
      <c r="H724" s="1056"/>
      <c r="I724" s="1056"/>
      <c r="J724" s="1056"/>
      <c r="K724" s="1056"/>
      <c r="L724" s="1056"/>
      <c r="M724" s="1056"/>
      <c r="N724" s="1056"/>
      <c r="O724" s="1056"/>
      <c r="P724" s="1056"/>
      <c r="Q724" s="1056"/>
      <c r="R724" s="1056"/>
      <c r="S724" s="296"/>
      <c r="T724" s="294"/>
      <c r="U724" s="294"/>
      <c r="V724" s="294"/>
      <c r="W724" s="84"/>
      <c r="X724" s="85"/>
      <c r="Y724" s="295"/>
      <c r="Z724" s="1056"/>
      <c r="AA724" s="1056"/>
      <c r="AB724" s="1056"/>
      <c r="AC724" s="1056"/>
      <c r="AD724" s="1056"/>
      <c r="AE724" s="1056"/>
      <c r="AF724" s="1056"/>
      <c r="AG724" s="1056"/>
      <c r="AH724" s="1056"/>
      <c r="AI724" s="1056"/>
      <c r="AJ724" s="1056"/>
      <c r="AK724" s="1056"/>
      <c r="AL724" s="1056"/>
      <c r="AM724" s="1056"/>
      <c r="AN724" s="1056"/>
      <c r="AO724" s="1056"/>
      <c r="AP724" s="1056"/>
      <c r="AQ724" s="1056"/>
      <c r="AR724" s="1056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</row>
    <row r="725" spans="1:86" s="53" customFormat="1" ht="35.65" hidden="1" customHeight="1" x14ac:dyDescent="0.2">
      <c r="A725" s="983">
        <f t="shared" si="20"/>
        <v>31</v>
      </c>
      <c r="B725" s="878">
        <v>2242028</v>
      </c>
      <c r="C725" s="919" t="s">
        <v>967</v>
      </c>
      <c r="D725" s="975">
        <v>1.5</v>
      </c>
      <c r="E725" s="1139"/>
      <c r="F725" s="975">
        <v>1.5</v>
      </c>
      <c r="G725" s="996"/>
      <c r="H725" s="1056"/>
      <c r="I725" s="1056"/>
      <c r="J725" s="1056"/>
      <c r="K725" s="1056"/>
      <c r="L725" s="1056"/>
      <c r="M725" s="1056"/>
      <c r="N725" s="1056"/>
      <c r="O725" s="1056"/>
      <c r="P725" s="1056"/>
      <c r="Q725" s="1056"/>
      <c r="R725" s="1056"/>
      <c r="S725" s="296"/>
      <c r="T725" s="294"/>
      <c r="U725" s="294"/>
      <c r="V725" s="294"/>
      <c r="W725" s="84"/>
      <c r="X725" s="85"/>
      <c r="Y725" s="295"/>
      <c r="Z725" s="1056"/>
      <c r="AA725" s="1056"/>
      <c r="AB725" s="1056"/>
      <c r="AC725" s="1056"/>
      <c r="AD725" s="1056"/>
      <c r="AE725" s="1056"/>
      <c r="AF725" s="1056"/>
      <c r="AG725" s="1056"/>
      <c r="AH725" s="1056"/>
      <c r="AI725" s="1056"/>
      <c r="AJ725" s="1056"/>
      <c r="AK725" s="1056"/>
      <c r="AL725" s="1056"/>
      <c r="AM725" s="1056"/>
      <c r="AN725" s="1056"/>
      <c r="AO725" s="1056"/>
      <c r="AP725" s="1056"/>
      <c r="AQ725" s="1056"/>
      <c r="AR725" s="1056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</row>
    <row r="726" spans="1:86" s="53" customFormat="1" ht="35.65" hidden="1" customHeight="1" x14ac:dyDescent="0.2">
      <c r="A726" s="983">
        <f t="shared" si="20"/>
        <v>32</v>
      </c>
      <c r="B726" s="878">
        <v>2242653</v>
      </c>
      <c r="C726" s="919" t="s">
        <v>134</v>
      </c>
      <c r="D726" s="975">
        <v>2.0350000000000001</v>
      </c>
      <c r="E726" s="1139"/>
      <c r="F726" s="975">
        <v>0.9</v>
      </c>
      <c r="G726" s="996"/>
      <c r="H726" s="1056"/>
      <c r="I726" s="1056"/>
      <c r="J726" s="1056"/>
      <c r="K726" s="1056"/>
      <c r="L726" s="1056"/>
      <c r="M726" s="1056"/>
      <c r="N726" s="1056"/>
      <c r="O726" s="1056"/>
      <c r="P726" s="1056"/>
      <c r="Q726" s="1056"/>
      <c r="R726" s="1056"/>
      <c r="S726" s="296"/>
      <c r="T726" s="294"/>
      <c r="U726" s="294"/>
      <c r="V726" s="294"/>
      <c r="W726" s="84"/>
      <c r="X726" s="85"/>
      <c r="Y726" s="295"/>
      <c r="Z726" s="1056"/>
      <c r="AA726" s="1056"/>
      <c r="AB726" s="1056"/>
      <c r="AC726" s="1056"/>
      <c r="AD726" s="1056"/>
      <c r="AE726" s="1056"/>
      <c r="AF726" s="1056"/>
      <c r="AG726" s="1056"/>
      <c r="AH726" s="1056"/>
      <c r="AI726" s="1056"/>
      <c r="AJ726" s="1056"/>
      <c r="AK726" s="1056"/>
      <c r="AL726" s="1056"/>
      <c r="AM726" s="1056"/>
      <c r="AN726" s="1056"/>
      <c r="AO726" s="1056"/>
      <c r="AP726" s="1056"/>
      <c r="AQ726" s="1056"/>
      <c r="AR726" s="1056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</row>
    <row r="727" spans="1:86" s="53" customFormat="1" ht="35.65" hidden="1" customHeight="1" x14ac:dyDescent="0.2">
      <c r="A727" s="983">
        <f t="shared" si="20"/>
        <v>33</v>
      </c>
      <c r="B727" s="878">
        <v>2241918</v>
      </c>
      <c r="C727" s="919" t="s">
        <v>968</v>
      </c>
      <c r="D727" s="975">
        <v>0.5</v>
      </c>
      <c r="E727" s="1139"/>
      <c r="F727" s="975">
        <v>0.5</v>
      </c>
      <c r="G727" s="996"/>
      <c r="H727" s="1056"/>
      <c r="I727" s="1056"/>
      <c r="J727" s="1056"/>
      <c r="K727" s="1056"/>
      <c r="L727" s="1056"/>
      <c r="M727" s="1056"/>
      <c r="N727" s="1056"/>
      <c r="O727" s="1056"/>
      <c r="P727" s="1056"/>
      <c r="Q727" s="1056"/>
      <c r="R727" s="1056"/>
      <c r="S727" s="296"/>
      <c r="T727" s="294"/>
      <c r="U727" s="294"/>
      <c r="V727" s="294"/>
      <c r="W727" s="84"/>
      <c r="X727" s="85"/>
      <c r="Y727" s="295"/>
      <c r="Z727" s="1056"/>
      <c r="AA727" s="1056"/>
      <c r="AB727" s="1056"/>
      <c r="AC727" s="1056"/>
      <c r="AD727" s="1056"/>
      <c r="AE727" s="1056"/>
      <c r="AF727" s="1056"/>
      <c r="AG727" s="1056"/>
      <c r="AH727" s="1056"/>
      <c r="AI727" s="1056"/>
      <c r="AJ727" s="1056"/>
      <c r="AK727" s="1056"/>
      <c r="AL727" s="1056"/>
      <c r="AM727" s="1056"/>
      <c r="AN727" s="1056"/>
      <c r="AO727" s="1056"/>
      <c r="AP727" s="1056"/>
      <c r="AQ727" s="1056"/>
      <c r="AR727" s="1056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</row>
    <row r="728" spans="1:86" s="53" customFormat="1" ht="35.65" hidden="1" customHeight="1" x14ac:dyDescent="0.2">
      <c r="A728" s="983">
        <f t="shared" si="20"/>
        <v>34</v>
      </c>
      <c r="B728" s="878">
        <v>2241808</v>
      </c>
      <c r="C728" s="919" t="s">
        <v>969</v>
      </c>
      <c r="D728" s="975">
        <v>1.8</v>
      </c>
      <c r="E728" s="1139"/>
      <c r="F728" s="975">
        <v>1.8</v>
      </c>
      <c r="G728" s="996"/>
      <c r="H728" s="1056"/>
      <c r="I728" s="1056"/>
      <c r="J728" s="1056"/>
      <c r="K728" s="1056"/>
      <c r="L728" s="1056"/>
      <c r="M728" s="1056"/>
      <c r="N728" s="1056"/>
      <c r="O728" s="1056"/>
      <c r="P728" s="1056"/>
      <c r="Q728" s="1056"/>
      <c r="R728" s="1056"/>
      <c r="S728" s="296"/>
      <c r="T728" s="294"/>
      <c r="U728" s="294"/>
      <c r="V728" s="294"/>
      <c r="W728" s="84"/>
      <c r="X728" s="85"/>
      <c r="Y728" s="295"/>
      <c r="Z728" s="1056"/>
      <c r="AA728" s="1056"/>
      <c r="AB728" s="1056"/>
      <c r="AC728" s="1056"/>
      <c r="AD728" s="1056"/>
      <c r="AE728" s="1056"/>
      <c r="AF728" s="1056"/>
      <c r="AG728" s="1056"/>
      <c r="AH728" s="1056"/>
      <c r="AI728" s="1056"/>
      <c r="AJ728" s="1056"/>
      <c r="AK728" s="1056"/>
      <c r="AL728" s="1056"/>
      <c r="AM728" s="1056"/>
      <c r="AN728" s="1056"/>
      <c r="AO728" s="1056"/>
      <c r="AP728" s="1056"/>
      <c r="AQ728" s="1056"/>
      <c r="AR728" s="1056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</row>
    <row r="729" spans="1:86" s="53" customFormat="1" ht="35.65" hidden="1" customHeight="1" x14ac:dyDescent="0.2">
      <c r="A729" s="983">
        <f t="shared" si="20"/>
        <v>35</v>
      </c>
      <c r="B729" s="878">
        <v>2239744</v>
      </c>
      <c r="C729" s="919" t="s">
        <v>970</v>
      </c>
      <c r="D729" s="975">
        <v>1</v>
      </c>
      <c r="E729" s="1139"/>
      <c r="F729" s="975">
        <v>1</v>
      </c>
      <c r="G729" s="996"/>
      <c r="H729" s="1056"/>
      <c r="I729" s="1056"/>
      <c r="J729" s="1056"/>
      <c r="K729" s="1056"/>
      <c r="L729" s="1056"/>
      <c r="M729" s="1056"/>
      <c r="N729" s="1056"/>
      <c r="O729" s="1056"/>
      <c r="P729" s="1056"/>
      <c r="Q729" s="1056"/>
      <c r="R729" s="1056"/>
      <c r="S729" s="296"/>
      <c r="T729" s="294"/>
      <c r="U729" s="294"/>
      <c r="V729" s="294"/>
      <c r="W729" s="84"/>
      <c r="X729" s="85"/>
      <c r="Y729" s="295"/>
      <c r="Z729" s="1056"/>
      <c r="AA729" s="1056"/>
      <c r="AB729" s="1056"/>
      <c r="AC729" s="1056"/>
      <c r="AD729" s="1056"/>
      <c r="AE729" s="1056"/>
      <c r="AF729" s="1056"/>
      <c r="AG729" s="1056"/>
      <c r="AH729" s="1056"/>
      <c r="AI729" s="1056"/>
      <c r="AJ729" s="1056"/>
      <c r="AK729" s="1056"/>
      <c r="AL729" s="1056"/>
      <c r="AM729" s="1056"/>
      <c r="AN729" s="1056"/>
      <c r="AO729" s="1056"/>
      <c r="AP729" s="1056"/>
      <c r="AQ729" s="1056"/>
      <c r="AR729" s="1056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</row>
    <row r="730" spans="1:86" s="53" customFormat="1" ht="35.65" hidden="1" customHeight="1" x14ac:dyDescent="0.2">
      <c r="A730" s="983">
        <f t="shared" si="20"/>
        <v>36</v>
      </c>
      <c r="B730" s="878">
        <v>2238769</v>
      </c>
      <c r="C730" s="919" t="s">
        <v>971</v>
      </c>
      <c r="D730" s="975">
        <v>0.8</v>
      </c>
      <c r="E730" s="1139"/>
      <c r="F730" s="975">
        <v>0.8</v>
      </c>
      <c r="G730" s="996"/>
      <c r="H730" s="1056"/>
      <c r="I730" s="1056"/>
      <c r="J730" s="1056"/>
      <c r="K730" s="1056"/>
      <c r="L730" s="1056"/>
      <c r="M730" s="1056"/>
      <c r="N730" s="1056"/>
      <c r="O730" s="1056"/>
      <c r="P730" s="1056"/>
      <c r="Q730" s="1056"/>
      <c r="R730" s="1056"/>
      <c r="S730" s="296"/>
      <c r="T730" s="294"/>
      <c r="U730" s="294"/>
      <c r="V730" s="294"/>
      <c r="W730" s="84"/>
      <c r="X730" s="85"/>
      <c r="Y730" s="295"/>
      <c r="Z730" s="1056"/>
      <c r="AA730" s="1056"/>
      <c r="AB730" s="1056"/>
      <c r="AC730" s="1056"/>
      <c r="AD730" s="1056"/>
      <c r="AE730" s="1056"/>
      <c r="AF730" s="1056"/>
      <c r="AG730" s="1056"/>
      <c r="AH730" s="1056"/>
      <c r="AI730" s="1056"/>
      <c r="AJ730" s="1056"/>
      <c r="AK730" s="1056"/>
      <c r="AL730" s="1056"/>
      <c r="AM730" s="1056"/>
      <c r="AN730" s="1056"/>
      <c r="AO730" s="1056"/>
      <c r="AP730" s="1056"/>
      <c r="AQ730" s="1056"/>
      <c r="AR730" s="1056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</row>
    <row r="731" spans="1:86" s="53" customFormat="1" ht="35.65" hidden="1" customHeight="1" x14ac:dyDescent="0.2">
      <c r="A731" s="983">
        <f t="shared" si="20"/>
        <v>37</v>
      </c>
      <c r="B731" s="878">
        <v>2242518</v>
      </c>
      <c r="C731" s="919" t="s">
        <v>972</v>
      </c>
      <c r="D731" s="975">
        <v>0.6</v>
      </c>
      <c r="E731" s="1139"/>
      <c r="F731" s="975">
        <v>0.3</v>
      </c>
      <c r="G731" s="996"/>
      <c r="H731" s="1056"/>
      <c r="I731" s="1056"/>
      <c r="J731" s="1056"/>
      <c r="K731" s="1056"/>
      <c r="L731" s="1056"/>
      <c r="M731" s="1056"/>
      <c r="N731" s="1056"/>
      <c r="O731" s="1056"/>
      <c r="P731" s="1056"/>
      <c r="Q731" s="1056"/>
      <c r="R731" s="1056"/>
      <c r="S731" s="296"/>
      <c r="T731" s="294"/>
      <c r="U731" s="294"/>
      <c r="V731" s="294"/>
      <c r="W731" s="84"/>
      <c r="X731" s="85"/>
      <c r="Y731" s="295"/>
      <c r="Z731" s="1056"/>
      <c r="AA731" s="1056"/>
      <c r="AB731" s="1056"/>
      <c r="AC731" s="1056"/>
      <c r="AD731" s="1056"/>
      <c r="AE731" s="1056"/>
      <c r="AF731" s="1056"/>
      <c r="AG731" s="1056"/>
      <c r="AH731" s="1056"/>
      <c r="AI731" s="1056"/>
      <c r="AJ731" s="1056"/>
      <c r="AK731" s="1056"/>
      <c r="AL731" s="1056"/>
      <c r="AM731" s="1056"/>
      <c r="AN731" s="1056"/>
      <c r="AO731" s="1056"/>
      <c r="AP731" s="1056"/>
      <c r="AQ731" s="1056"/>
      <c r="AR731" s="1056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</row>
    <row r="732" spans="1:86" s="53" customFormat="1" ht="35.65" hidden="1" customHeight="1" x14ac:dyDescent="0.2">
      <c r="A732" s="983">
        <f t="shared" si="20"/>
        <v>38</v>
      </c>
      <c r="B732" s="878">
        <v>2246212</v>
      </c>
      <c r="C732" s="919" t="s">
        <v>973</v>
      </c>
      <c r="D732" s="975">
        <v>0.5</v>
      </c>
      <c r="E732" s="1139"/>
      <c r="F732" s="975">
        <v>0.5</v>
      </c>
      <c r="G732" s="996"/>
      <c r="H732" s="1056"/>
      <c r="I732" s="1056"/>
      <c r="J732" s="1056"/>
      <c r="K732" s="1056"/>
      <c r="L732" s="1056"/>
      <c r="M732" s="1056"/>
      <c r="N732" s="1056"/>
      <c r="O732" s="1056"/>
      <c r="P732" s="1056"/>
      <c r="Q732" s="1056"/>
      <c r="R732" s="1056"/>
      <c r="S732" s="296"/>
      <c r="T732" s="294"/>
      <c r="U732" s="294"/>
      <c r="V732" s="294"/>
      <c r="W732" s="84"/>
      <c r="X732" s="85"/>
      <c r="Y732" s="295"/>
      <c r="Z732" s="1056"/>
      <c r="AA732" s="1056"/>
      <c r="AB732" s="1056"/>
      <c r="AC732" s="1056"/>
      <c r="AD732" s="1056"/>
      <c r="AE732" s="1056"/>
      <c r="AF732" s="1056"/>
      <c r="AG732" s="1056"/>
      <c r="AH732" s="1056"/>
      <c r="AI732" s="1056"/>
      <c r="AJ732" s="1056"/>
      <c r="AK732" s="1056"/>
      <c r="AL732" s="1056"/>
      <c r="AM732" s="1056"/>
      <c r="AN732" s="1056"/>
      <c r="AO732" s="1056"/>
      <c r="AP732" s="1056"/>
      <c r="AQ732" s="1056"/>
      <c r="AR732" s="1056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</row>
    <row r="733" spans="1:86" s="53" customFormat="1" ht="35.65" hidden="1" customHeight="1" x14ac:dyDescent="0.2">
      <c r="A733" s="983">
        <f t="shared" si="20"/>
        <v>39</v>
      </c>
      <c r="B733" s="878">
        <v>2240889</v>
      </c>
      <c r="C733" s="919" t="s">
        <v>135</v>
      </c>
      <c r="D733" s="975">
        <v>1</v>
      </c>
      <c r="E733" s="1139"/>
      <c r="F733" s="975">
        <v>1</v>
      </c>
      <c r="G733" s="996"/>
      <c r="H733" s="1056"/>
      <c r="I733" s="1056"/>
      <c r="J733" s="1056"/>
      <c r="K733" s="1056"/>
      <c r="L733" s="1056"/>
      <c r="M733" s="1056"/>
      <c r="N733" s="1056"/>
      <c r="O733" s="1056"/>
      <c r="P733" s="1056"/>
      <c r="Q733" s="1056"/>
      <c r="R733" s="1056"/>
      <c r="S733" s="296"/>
      <c r="T733" s="294"/>
      <c r="U733" s="294"/>
      <c r="V733" s="294"/>
      <c r="W733" s="84"/>
      <c r="X733" s="85"/>
      <c r="Y733" s="295"/>
      <c r="Z733" s="1056"/>
      <c r="AA733" s="1056"/>
      <c r="AB733" s="1056"/>
      <c r="AC733" s="1056"/>
      <c r="AD733" s="1056"/>
      <c r="AE733" s="1056"/>
      <c r="AF733" s="1056"/>
      <c r="AG733" s="1056"/>
      <c r="AH733" s="1056"/>
      <c r="AI733" s="1056"/>
      <c r="AJ733" s="1056"/>
      <c r="AK733" s="1056"/>
      <c r="AL733" s="1056"/>
      <c r="AM733" s="1056"/>
      <c r="AN733" s="1056"/>
      <c r="AO733" s="1056"/>
      <c r="AP733" s="1056"/>
      <c r="AQ733" s="1056"/>
      <c r="AR733" s="1056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</row>
    <row r="734" spans="1:86" s="53" customFormat="1" ht="35.65" hidden="1" customHeight="1" x14ac:dyDescent="0.2">
      <c r="A734" s="983">
        <f t="shared" si="20"/>
        <v>40</v>
      </c>
      <c r="B734" s="878">
        <v>2246394</v>
      </c>
      <c r="C734" s="919" t="s">
        <v>136</v>
      </c>
      <c r="D734" s="975">
        <v>0.8</v>
      </c>
      <c r="E734" s="1139"/>
      <c r="F734" s="975">
        <v>0.8</v>
      </c>
      <c r="G734" s="996"/>
      <c r="H734" s="1056"/>
      <c r="I734" s="1056"/>
      <c r="J734" s="1056"/>
      <c r="K734" s="1056"/>
      <c r="L734" s="1056"/>
      <c r="M734" s="1056"/>
      <c r="N734" s="1056"/>
      <c r="O734" s="1056"/>
      <c r="P734" s="1056"/>
      <c r="Q734" s="1056"/>
      <c r="R734" s="1056"/>
      <c r="S734" s="296"/>
      <c r="T734" s="294"/>
      <c r="U734" s="294"/>
      <c r="V734" s="294"/>
      <c r="W734" s="84"/>
      <c r="X734" s="85"/>
      <c r="Y734" s="295"/>
      <c r="Z734" s="1056"/>
      <c r="AA734" s="1056"/>
      <c r="AB734" s="1056"/>
      <c r="AC734" s="1056"/>
      <c r="AD734" s="1056"/>
      <c r="AE734" s="1056"/>
      <c r="AF734" s="1056"/>
      <c r="AG734" s="1056"/>
      <c r="AH734" s="1056"/>
      <c r="AI734" s="1056"/>
      <c r="AJ734" s="1056"/>
      <c r="AK734" s="1056"/>
      <c r="AL734" s="1056"/>
      <c r="AM734" s="1056"/>
      <c r="AN734" s="1056"/>
      <c r="AO734" s="1056"/>
      <c r="AP734" s="1056"/>
      <c r="AQ734" s="1056"/>
      <c r="AR734" s="1056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</row>
    <row r="735" spans="1:86" s="53" customFormat="1" ht="35.65" hidden="1" customHeight="1" x14ac:dyDescent="0.2">
      <c r="A735" s="983">
        <f t="shared" si="20"/>
        <v>41</v>
      </c>
      <c r="B735" s="878">
        <v>2239588</v>
      </c>
      <c r="C735" s="919" t="s">
        <v>137</v>
      </c>
      <c r="D735" s="975">
        <v>1.4</v>
      </c>
      <c r="E735" s="1139"/>
      <c r="F735" s="975">
        <v>1.4</v>
      </c>
      <c r="G735" s="996"/>
      <c r="H735" s="1056"/>
      <c r="I735" s="1056"/>
      <c r="J735" s="1056"/>
      <c r="K735" s="1056"/>
      <c r="L735" s="1056"/>
      <c r="M735" s="1056"/>
      <c r="N735" s="1056"/>
      <c r="O735" s="1056"/>
      <c r="P735" s="1056"/>
      <c r="Q735" s="1056"/>
      <c r="R735" s="1056"/>
      <c r="S735" s="296"/>
      <c r="T735" s="294"/>
      <c r="U735" s="294"/>
      <c r="V735" s="294"/>
      <c r="W735" s="84"/>
      <c r="X735" s="85"/>
      <c r="Y735" s="295"/>
      <c r="Z735" s="1056"/>
      <c r="AA735" s="1056"/>
      <c r="AB735" s="1056"/>
      <c r="AC735" s="1056"/>
      <c r="AD735" s="1056"/>
      <c r="AE735" s="1056"/>
      <c r="AF735" s="1056"/>
      <c r="AG735" s="1056"/>
      <c r="AH735" s="1056"/>
      <c r="AI735" s="1056"/>
      <c r="AJ735" s="1056"/>
      <c r="AK735" s="1056"/>
      <c r="AL735" s="1056"/>
      <c r="AM735" s="1056"/>
      <c r="AN735" s="1056"/>
      <c r="AO735" s="1056"/>
      <c r="AP735" s="1056"/>
      <c r="AQ735" s="1056"/>
      <c r="AR735" s="1056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</row>
    <row r="736" spans="1:86" s="53" customFormat="1" ht="35.65" hidden="1" customHeight="1" x14ac:dyDescent="0.2">
      <c r="A736" s="983">
        <f t="shared" si="20"/>
        <v>42</v>
      </c>
      <c r="B736" s="878">
        <v>2239740</v>
      </c>
      <c r="C736" s="919" t="s">
        <v>138</v>
      </c>
      <c r="D736" s="975">
        <v>1</v>
      </c>
      <c r="E736" s="1139"/>
      <c r="F736" s="975">
        <v>1</v>
      </c>
      <c r="G736" s="996"/>
      <c r="H736" s="1056"/>
      <c r="I736" s="1056"/>
      <c r="J736" s="1056"/>
      <c r="K736" s="1056"/>
      <c r="L736" s="1056"/>
      <c r="M736" s="1056"/>
      <c r="N736" s="1056"/>
      <c r="O736" s="1056"/>
      <c r="P736" s="1056"/>
      <c r="Q736" s="1056"/>
      <c r="R736" s="1056"/>
      <c r="S736" s="296"/>
      <c r="T736" s="294"/>
      <c r="U736" s="294"/>
      <c r="V736" s="294"/>
      <c r="W736" s="84"/>
      <c r="X736" s="85"/>
      <c r="Y736" s="295"/>
      <c r="Z736" s="1056"/>
      <c r="AA736" s="1056"/>
      <c r="AB736" s="1056"/>
      <c r="AC736" s="1056"/>
      <c r="AD736" s="1056"/>
      <c r="AE736" s="1056"/>
      <c r="AF736" s="1056"/>
      <c r="AG736" s="1056"/>
      <c r="AH736" s="1056"/>
      <c r="AI736" s="1056"/>
      <c r="AJ736" s="1056"/>
      <c r="AK736" s="1056"/>
      <c r="AL736" s="1056"/>
      <c r="AM736" s="1056"/>
      <c r="AN736" s="1056"/>
      <c r="AO736" s="1056"/>
      <c r="AP736" s="1056"/>
      <c r="AQ736" s="1056"/>
      <c r="AR736" s="1056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</row>
    <row r="737" spans="1:86" s="53" customFormat="1" ht="35.65" hidden="1" customHeight="1" x14ac:dyDescent="0.2">
      <c r="A737" s="983">
        <f t="shared" si="20"/>
        <v>43</v>
      </c>
      <c r="B737" s="878">
        <v>2243831</v>
      </c>
      <c r="C737" s="919" t="s">
        <v>139</v>
      </c>
      <c r="D737" s="975">
        <v>1</v>
      </c>
      <c r="E737" s="1139"/>
      <c r="F737" s="975">
        <v>0.5</v>
      </c>
      <c r="G737" s="996"/>
      <c r="H737" s="1056"/>
      <c r="I737" s="1056"/>
      <c r="J737" s="1056"/>
      <c r="K737" s="1056"/>
      <c r="L737" s="1056"/>
      <c r="M737" s="1056"/>
      <c r="N737" s="1056"/>
      <c r="O737" s="1056"/>
      <c r="P737" s="1056"/>
      <c r="Q737" s="1056"/>
      <c r="R737" s="1056"/>
      <c r="S737" s="296"/>
      <c r="T737" s="294"/>
      <c r="U737" s="294"/>
      <c r="V737" s="294"/>
      <c r="W737" s="84"/>
      <c r="X737" s="85"/>
      <c r="Y737" s="295"/>
      <c r="Z737" s="1056"/>
      <c r="AA737" s="1056"/>
      <c r="AB737" s="1056"/>
      <c r="AC737" s="1056"/>
      <c r="AD737" s="1056"/>
      <c r="AE737" s="1056"/>
      <c r="AF737" s="1056"/>
      <c r="AG737" s="1056"/>
      <c r="AH737" s="1056"/>
      <c r="AI737" s="1056"/>
      <c r="AJ737" s="1056"/>
      <c r="AK737" s="1056"/>
      <c r="AL737" s="1056"/>
      <c r="AM737" s="1056"/>
      <c r="AN737" s="1056"/>
      <c r="AO737" s="1056"/>
      <c r="AP737" s="1056"/>
      <c r="AQ737" s="1056"/>
      <c r="AR737" s="1056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</row>
    <row r="738" spans="1:86" s="53" customFormat="1" ht="35.65" hidden="1" customHeight="1" x14ac:dyDescent="0.2">
      <c r="A738" s="983">
        <f t="shared" si="20"/>
        <v>44</v>
      </c>
      <c r="B738" s="878">
        <v>2243495</v>
      </c>
      <c r="C738" s="919" t="s">
        <v>140</v>
      </c>
      <c r="D738" s="975">
        <v>0.6</v>
      </c>
      <c r="E738" s="1139"/>
      <c r="F738" s="975">
        <v>0.6</v>
      </c>
      <c r="G738" s="996"/>
      <c r="H738" s="1056"/>
      <c r="I738" s="1056"/>
      <c r="J738" s="1056"/>
      <c r="K738" s="1056"/>
      <c r="L738" s="1056"/>
      <c r="M738" s="1056"/>
      <c r="N738" s="1056"/>
      <c r="O738" s="1056"/>
      <c r="P738" s="1056"/>
      <c r="Q738" s="1056"/>
      <c r="R738" s="1056"/>
      <c r="S738" s="296"/>
      <c r="T738" s="294"/>
      <c r="U738" s="294"/>
      <c r="V738" s="294"/>
      <c r="W738" s="84"/>
      <c r="X738" s="85"/>
      <c r="Y738" s="295"/>
      <c r="Z738" s="1056"/>
      <c r="AA738" s="1056"/>
      <c r="AB738" s="1056"/>
      <c r="AC738" s="1056"/>
      <c r="AD738" s="1056"/>
      <c r="AE738" s="1056"/>
      <c r="AF738" s="1056"/>
      <c r="AG738" s="1056"/>
      <c r="AH738" s="1056"/>
      <c r="AI738" s="1056"/>
      <c r="AJ738" s="1056"/>
      <c r="AK738" s="1056"/>
      <c r="AL738" s="1056"/>
      <c r="AM738" s="1056"/>
      <c r="AN738" s="1056"/>
      <c r="AO738" s="1056"/>
      <c r="AP738" s="1056"/>
      <c r="AQ738" s="1056"/>
      <c r="AR738" s="1056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</row>
    <row r="739" spans="1:86" s="53" customFormat="1" ht="35.65" hidden="1" customHeight="1" x14ac:dyDescent="0.2">
      <c r="A739" s="983">
        <f t="shared" si="20"/>
        <v>45</v>
      </c>
      <c r="B739" s="878">
        <v>2246168</v>
      </c>
      <c r="C739" s="919" t="s">
        <v>663</v>
      </c>
      <c r="D739" s="975">
        <v>0.2</v>
      </c>
      <c r="E739" s="1139"/>
      <c r="F739" s="975">
        <v>0.2</v>
      </c>
      <c r="G739" s="996"/>
      <c r="H739" s="1056"/>
      <c r="I739" s="1056"/>
      <c r="J739" s="1056"/>
      <c r="K739" s="1056"/>
      <c r="L739" s="1056"/>
      <c r="M739" s="1056"/>
      <c r="N739" s="1056"/>
      <c r="O739" s="1056"/>
      <c r="P739" s="1056"/>
      <c r="Q739" s="1056"/>
      <c r="R739" s="1056"/>
      <c r="S739" s="296"/>
      <c r="T739" s="294"/>
      <c r="U739" s="294"/>
      <c r="V739" s="294"/>
      <c r="W739" s="84"/>
      <c r="X739" s="85"/>
      <c r="Y739" s="295"/>
      <c r="Z739" s="1056"/>
      <c r="AA739" s="1056"/>
      <c r="AB739" s="1056"/>
      <c r="AC739" s="1056"/>
      <c r="AD739" s="1056"/>
      <c r="AE739" s="1056"/>
      <c r="AF739" s="1056"/>
      <c r="AG739" s="1056"/>
      <c r="AH739" s="1056"/>
      <c r="AI739" s="1056"/>
      <c r="AJ739" s="1056"/>
      <c r="AK739" s="1056"/>
      <c r="AL739" s="1056"/>
      <c r="AM739" s="1056"/>
      <c r="AN739" s="1056"/>
      <c r="AO739" s="1056"/>
      <c r="AP739" s="1056"/>
      <c r="AQ739" s="1056"/>
      <c r="AR739" s="1056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</row>
    <row r="740" spans="1:86" s="53" customFormat="1" ht="35.65" hidden="1" customHeight="1" x14ac:dyDescent="0.2">
      <c r="A740" s="983">
        <f t="shared" si="20"/>
        <v>46</v>
      </c>
      <c r="B740" s="878">
        <v>2243964</v>
      </c>
      <c r="C740" s="919" t="s">
        <v>141</v>
      </c>
      <c r="D740" s="975">
        <v>0.6</v>
      </c>
      <c r="E740" s="1139"/>
      <c r="F740" s="975">
        <v>0.6</v>
      </c>
      <c r="G740" s="996"/>
      <c r="H740" s="1056"/>
      <c r="I740" s="1056"/>
      <c r="J740" s="1056"/>
      <c r="K740" s="1056"/>
      <c r="L740" s="1056"/>
      <c r="M740" s="1056"/>
      <c r="N740" s="1056"/>
      <c r="O740" s="1056"/>
      <c r="P740" s="1056"/>
      <c r="Q740" s="1056"/>
      <c r="R740" s="1056"/>
      <c r="S740" s="296"/>
      <c r="T740" s="294"/>
      <c r="U740" s="294"/>
      <c r="V740" s="294"/>
      <c r="W740" s="84"/>
      <c r="X740" s="85"/>
      <c r="Y740" s="295"/>
      <c r="Z740" s="1056"/>
      <c r="AA740" s="1056"/>
      <c r="AB740" s="1056"/>
      <c r="AC740" s="1056"/>
      <c r="AD740" s="1056"/>
      <c r="AE740" s="1056"/>
      <c r="AF740" s="1056"/>
      <c r="AG740" s="1056"/>
      <c r="AH740" s="1056"/>
      <c r="AI740" s="1056"/>
      <c r="AJ740" s="1056"/>
      <c r="AK740" s="1056"/>
      <c r="AL740" s="1056"/>
      <c r="AM740" s="1056"/>
      <c r="AN740" s="1056"/>
      <c r="AO740" s="1056"/>
      <c r="AP740" s="1056"/>
      <c r="AQ740" s="1056"/>
      <c r="AR740" s="1056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</row>
    <row r="741" spans="1:86" s="53" customFormat="1" ht="35.65" hidden="1" customHeight="1" x14ac:dyDescent="0.2">
      <c r="A741" s="983">
        <f t="shared" si="20"/>
        <v>47</v>
      </c>
      <c r="B741" s="878">
        <v>2241955</v>
      </c>
      <c r="C741" s="919" t="s">
        <v>142</v>
      </c>
      <c r="D741" s="975">
        <v>0.6</v>
      </c>
      <c r="E741" s="1139"/>
      <c r="F741" s="975">
        <v>0.6</v>
      </c>
      <c r="G741" s="996"/>
      <c r="H741" s="1056"/>
      <c r="I741" s="1056"/>
      <c r="J741" s="1056"/>
      <c r="K741" s="1056"/>
      <c r="L741" s="1056"/>
      <c r="M741" s="1056"/>
      <c r="N741" s="1056"/>
      <c r="O741" s="1056"/>
      <c r="P741" s="1056"/>
      <c r="Q741" s="1056"/>
      <c r="R741" s="1056"/>
      <c r="S741" s="296"/>
      <c r="T741" s="294"/>
      <c r="U741" s="294"/>
      <c r="V741" s="294"/>
      <c r="W741" s="84"/>
      <c r="X741" s="85"/>
      <c r="Y741" s="295"/>
      <c r="Z741" s="1056"/>
      <c r="AA741" s="1056"/>
      <c r="AB741" s="1056"/>
      <c r="AC741" s="1056"/>
      <c r="AD741" s="1056"/>
      <c r="AE741" s="1056"/>
      <c r="AF741" s="1056"/>
      <c r="AG741" s="1056"/>
      <c r="AH741" s="1056"/>
      <c r="AI741" s="1056"/>
      <c r="AJ741" s="1056"/>
      <c r="AK741" s="1056"/>
      <c r="AL741" s="1056"/>
      <c r="AM741" s="1056"/>
      <c r="AN741" s="1056"/>
      <c r="AO741" s="1056"/>
      <c r="AP741" s="1056"/>
      <c r="AQ741" s="1056"/>
      <c r="AR741" s="1056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</row>
    <row r="742" spans="1:86" s="53" customFormat="1" ht="35.65" hidden="1" customHeight="1" x14ac:dyDescent="0.2">
      <c r="A742" s="983">
        <f t="shared" si="20"/>
        <v>48</v>
      </c>
      <c r="B742" s="878">
        <v>2241818</v>
      </c>
      <c r="C742" s="919" t="s">
        <v>638</v>
      </c>
      <c r="D742" s="975">
        <v>0.6</v>
      </c>
      <c r="E742" s="1139"/>
      <c r="F742" s="975">
        <v>0.6</v>
      </c>
      <c r="G742" s="996"/>
      <c r="H742" s="1056"/>
      <c r="I742" s="1056"/>
      <c r="J742" s="1056"/>
      <c r="K742" s="1056"/>
      <c r="L742" s="1056"/>
      <c r="M742" s="1056"/>
      <c r="N742" s="1056"/>
      <c r="O742" s="1056"/>
      <c r="P742" s="1056"/>
      <c r="Q742" s="1056"/>
      <c r="R742" s="1056"/>
      <c r="S742" s="296"/>
      <c r="T742" s="294"/>
      <c r="U742" s="294"/>
      <c r="V742" s="294"/>
      <c r="W742" s="84"/>
      <c r="X742" s="85"/>
      <c r="Y742" s="295"/>
      <c r="Z742" s="1056"/>
      <c r="AA742" s="1056"/>
      <c r="AB742" s="1056"/>
      <c r="AC742" s="1056"/>
      <c r="AD742" s="1056"/>
      <c r="AE742" s="1056"/>
      <c r="AF742" s="1056"/>
      <c r="AG742" s="1056"/>
      <c r="AH742" s="1056"/>
      <c r="AI742" s="1056"/>
      <c r="AJ742" s="1056"/>
      <c r="AK742" s="1056"/>
      <c r="AL742" s="1056"/>
      <c r="AM742" s="1056"/>
      <c r="AN742" s="1056"/>
      <c r="AO742" s="1056"/>
      <c r="AP742" s="1056"/>
      <c r="AQ742" s="1056"/>
      <c r="AR742" s="1056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</row>
    <row r="743" spans="1:86" s="53" customFormat="1" ht="35.65" hidden="1" customHeight="1" x14ac:dyDescent="0.2">
      <c r="A743" s="983">
        <f t="shared" si="20"/>
        <v>49</v>
      </c>
      <c r="B743" s="878">
        <v>2241651</v>
      </c>
      <c r="C743" s="919" t="s">
        <v>974</v>
      </c>
      <c r="D743" s="975">
        <v>0.8</v>
      </c>
      <c r="E743" s="1139"/>
      <c r="F743" s="975">
        <v>0.8</v>
      </c>
      <c r="G743" s="996"/>
      <c r="H743" s="1056"/>
      <c r="I743" s="1056"/>
      <c r="J743" s="1056"/>
      <c r="K743" s="1056"/>
      <c r="L743" s="1056"/>
      <c r="M743" s="1056"/>
      <c r="N743" s="1056"/>
      <c r="O743" s="1056"/>
      <c r="P743" s="1056"/>
      <c r="Q743" s="1056"/>
      <c r="R743" s="1056"/>
      <c r="S743" s="296"/>
      <c r="T743" s="294"/>
      <c r="U743" s="294"/>
      <c r="V743" s="294"/>
      <c r="W743" s="84"/>
      <c r="X743" s="85"/>
      <c r="Y743" s="295"/>
      <c r="Z743" s="1056"/>
      <c r="AA743" s="1056"/>
      <c r="AB743" s="1056"/>
      <c r="AC743" s="1056"/>
      <c r="AD743" s="1056"/>
      <c r="AE743" s="1056"/>
      <c r="AF743" s="1056"/>
      <c r="AG743" s="1056"/>
      <c r="AH743" s="1056"/>
      <c r="AI743" s="1056"/>
      <c r="AJ743" s="1056"/>
      <c r="AK743" s="1056"/>
      <c r="AL743" s="1056"/>
      <c r="AM743" s="1056"/>
      <c r="AN743" s="1056"/>
      <c r="AO743" s="1056"/>
      <c r="AP743" s="1056"/>
      <c r="AQ743" s="1056"/>
      <c r="AR743" s="1056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</row>
    <row r="744" spans="1:86" s="53" customFormat="1" ht="35.65" hidden="1" customHeight="1" x14ac:dyDescent="0.2">
      <c r="A744" s="983">
        <f t="shared" si="20"/>
        <v>50</v>
      </c>
      <c r="B744" s="878">
        <v>2243963</v>
      </c>
      <c r="C744" s="919" t="s">
        <v>143</v>
      </c>
      <c r="D744" s="975">
        <v>0.8</v>
      </c>
      <c r="E744" s="1139"/>
      <c r="F744" s="975">
        <v>0.6</v>
      </c>
      <c r="G744" s="996"/>
      <c r="H744" s="1056"/>
      <c r="I744" s="1056"/>
      <c r="J744" s="1056"/>
      <c r="K744" s="1056"/>
      <c r="L744" s="1056"/>
      <c r="M744" s="1056"/>
      <c r="N744" s="1056"/>
      <c r="O744" s="1056"/>
      <c r="P744" s="1056"/>
      <c r="Q744" s="1056"/>
      <c r="R744" s="1056"/>
      <c r="S744" s="296"/>
      <c r="T744" s="294"/>
      <c r="U744" s="294"/>
      <c r="V744" s="294"/>
      <c r="W744" s="84"/>
      <c r="X744" s="85"/>
      <c r="Y744" s="295"/>
      <c r="Z744" s="1056"/>
      <c r="AA744" s="1056"/>
      <c r="AB744" s="1056"/>
      <c r="AC744" s="1056"/>
      <c r="AD744" s="1056"/>
      <c r="AE744" s="1056"/>
      <c r="AF744" s="1056"/>
      <c r="AG744" s="1056"/>
      <c r="AH744" s="1056"/>
      <c r="AI744" s="1056"/>
      <c r="AJ744" s="1056"/>
      <c r="AK744" s="1056"/>
      <c r="AL744" s="1056"/>
      <c r="AM744" s="1056"/>
      <c r="AN744" s="1056"/>
      <c r="AO744" s="1056"/>
      <c r="AP744" s="1056"/>
      <c r="AQ744" s="1056"/>
      <c r="AR744" s="1056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</row>
    <row r="745" spans="1:86" s="53" customFormat="1" ht="35.65" hidden="1" customHeight="1" x14ac:dyDescent="0.2">
      <c r="A745" s="983">
        <f t="shared" si="20"/>
        <v>51</v>
      </c>
      <c r="B745" s="878">
        <v>2242838</v>
      </c>
      <c r="C745" s="919" t="s">
        <v>975</v>
      </c>
      <c r="D745" s="975">
        <v>0.8</v>
      </c>
      <c r="E745" s="1139"/>
      <c r="F745" s="975">
        <v>0.8</v>
      </c>
      <c r="G745" s="996"/>
      <c r="H745" s="1056"/>
      <c r="I745" s="1056"/>
      <c r="J745" s="1056"/>
      <c r="K745" s="1056"/>
      <c r="L745" s="1056"/>
      <c r="M745" s="1056"/>
      <c r="N745" s="1056"/>
      <c r="O745" s="1056"/>
      <c r="P745" s="1056"/>
      <c r="Q745" s="1056"/>
      <c r="R745" s="1056"/>
      <c r="S745" s="296"/>
      <c r="T745" s="294"/>
      <c r="U745" s="294"/>
      <c r="V745" s="294"/>
      <c r="W745" s="84"/>
      <c r="X745" s="85"/>
      <c r="Y745" s="295"/>
      <c r="Z745" s="1056"/>
      <c r="AA745" s="1056"/>
      <c r="AB745" s="1056"/>
      <c r="AC745" s="1056"/>
      <c r="AD745" s="1056"/>
      <c r="AE745" s="1056"/>
      <c r="AF745" s="1056"/>
      <c r="AG745" s="1056"/>
      <c r="AH745" s="1056"/>
      <c r="AI745" s="1056"/>
      <c r="AJ745" s="1056"/>
      <c r="AK745" s="1056"/>
      <c r="AL745" s="1056"/>
      <c r="AM745" s="1056"/>
      <c r="AN745" s="1056"/>
      <c r="AO745" s="1056"/>
      <c r="AP745" s="1056"/>
      <c r="AQ745" s="1056"/>
      <c r="AR745" s="1056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</row>
    <row r="746" spans="1:86" s="53" customFormat="1" ht="35.65" hidden="1" customHeight="1" x14ac:dyDescent="0.2">
      <c r="A746" s="983">
        <f t="shared" si="20"/>
        <v>52</v>
      </c>
      <c r="B746" s="878">
        <v>2245541</v>
      </c>
      <c r="C746" s="919" t="s">
        <v>976</v>
      </c>
      <c r="D746" s="975">
        <v>0.8</v>
      </c>
      <c r="E746" s="1139"/>
      <c r="F746" s="975">
        <v>0.6</v>
      </c>
      <c r="G746" s="996"/>
      <c r="H746" s="1056"/>
      <c r="I746" s="1056"/>
      <c r="J746" s="1056"/>
      <c r="K746" s="1056"/>
      <c r="L746" s="1056"/>
      <c r="M746" s="1056"/>
      <c r="N746" s="1056"/>
      <c r="O746" s="1056"/>
      <c r="P746" s="1056"/>
      <c r="Q746" s="1056"/>
      <c r="R746" s="1056"/>
      <c r="S746" s="296"/>
      <c r="T746" s="294"/>
      <c r="U746" s="294"/>
      <c r="V746" s="294"/>
      <c r="W746" s="84"/>
      <c r="X746" s="85"/>
      <c r="Y746" s="295"/>
      <c r="Z746" s="1056"/>
      <c r="AA746" s="1056"/>
      <c r="AB746" s="1056"/>
      <c r="AC746" s="1056"/>
      <c r="AD746" s="1056"/>
      <c r="AE746" s="1056"/>
      <c r="AF746" s="1056"/>
      <c r="AG746" s="1056"/>
      <c r="AH746" s="1056"/>
      <c r="AI746" s="1056"/>
      <c r="AJ746" s="1056"/>
      <c r="AK746" s="1056"/>
      <c r="AL746" s="1056"/>
      <c r="AM746" s="1056"/>
      <c r="AN746" s="1056"/>
      <c r="AO746" s="1056"/>
      <c r="AP746" s="1056"/>
      <c r="AQ746" s="1056"/>
      <c r="AR746" s="1056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</row>
    <row r="747" spans="1:86" s="53" customFormat="1" ht="35.65" hidden="1" customHeight="1" x14ac:dyDescent="0.2">
      <c r="A747" s="983">
        <f t="shared" si="20"/>
        <v>53</v>
      </c>
      <c r="B747" s="878">
        <v>2239776</v>
      </c>
      <c r="C747" s="919" t="s">
        <v>145</v>
      </c>
      <c r="D747" s="975">
        <v>0.6</v>
      </c>
      <c r="E747" s="1139"/>
      <c r="F747" s="975">
        <v>0.6</v>
      </c>
      <c r="G747" s="996"/>
      <c r="H747" s="1056"/>
      <c r="I747" s="1056"/>
      <c r="J747" s="1056"/>
      <c r="K747" s="1056"/>
      <c r="L747" s="1056"/>
      <c r="M747" s="1056"/>
      <c r="N747" s="1056"/>
      <c r="O747" s="1056"/>
      <c r="P747" s="1056"/>
      <c r="Q747" s="1056"/>
      <c r="R747" s="1056"/>
      <c r="S747" s="296"/>
      <c r="T747" s="294"/>
      <c r="U747" s="294"/>
      <c r="V747" s="294"/>
      <c r="W747" s="84"/>
      <c r="X747" s="85"/>
      <c r="Y747" s="295"/>
      <c r="Z747" s="1056"/>
      <c r="AA747" s="1056"/>
      <c r="AB747" s="1056"/>
      <c r="AC747" s="1056"/>
      <c r="AD747" s="1056"/>
      <c r="AE747" s="1056"/>
      <c r="AF747" s="1056"/>
      <c r="AG747" s="1056"/>
      <c r="AH747" s="1056"/>
      <c r="AI747" s="1056"/>
      <c r="AJ747" s="1056"/>
      <c r="AK747" s="1056"/>
      <c r="AL747" s="1056"/>
      <c r="AM747" s="1056"/>
      <c r="AN747" s="1056"/>
      <c r="AO747" s="1056"/>
      <c r="AP747" s="1056"/>
      <c r="AQ747" s="1056"/>
      <c r="AR747" s="1056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</row>
    <row r="748" spans="1:86" s="53" customFormat="1" ht="35.65" hidden="1" customHeight="1" x14ac:dyDescent="0.2">
      <c r="A748" s="983">
        <f t="shared" si="20"/>
        <v>54</v>
      </c>
      <c r="B748" s="878">
        <v>2241368</v>
      </c>
      <c r="C748" s="919" t="s">
        <v>977</v>
      </c>
      <c r="D748" s="975">
        <v>0.6</v>
      </c>
      <c r="E748" s="1139"/>
      <c r="F748" s="975">
        <v>0.6</v>
      </c>
      <c r="G748" s="996"/>
      <c r="H748" s="1056"/>
      <c r="I748" s="1056"/>
      <c r="J748" s="1056"/>
      <c r="K748" s="1056"/>
      <c r="L748" s="1056"/>
      <c r="M748" s="1056"/>
      <c r="N748" s="1056"/>
      <c r="O748" s="1056"/>
      <c r="P748" s="1056"/>
      <c r="Q748" s="1056"/>
      <c r="R748" s="1056"/>
      <c r="S748" s="296"/>
      <c r="T748" s="294"/>
      <c r="U748" s="294"/>
      <c r="V748" s="294"/>
      <c r="W748" s="84"/>
      <c r="X748" s="85"/>
      <c r="Y748" s="295"/>
      <c r="Z748" s="1056"/>
      <c r="AA748" s="1056"/>
      <c r="AB748" s="1056"/>
      <c r="AC748" s="1056"/>
      <c r="AD748" s="1056"/>
      <c r="AE748" s="1056"/>
      <c r="AF748" s="1056"/>
      <c r="AG748" s="1056"/>
      <c r="AH748" s="1056"/>
      <c r="AI748" s="1056"/>
      <c r="AJ748" s="1056"/>
      <c r="AK748" s="1056"/>
      <c r="AL748" s="1056"/>
      <c r="AM748" s="1056"/>
      <c r="AN748" s="1056"/>
      <c r="AO748" s="1056"/>
      <c r="AP748" s="1056"/>
      <c r="AQ748" s="1056"/>
      <c r="AR748" s="1056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</row>
    <row r="749" spans="1:86" s="53" customFormat="1" ht="35.65" hidden="1" customHeight="1" x14ac:dyDescent="0.2">
      <c r="A749" s="983">
        <f t="shared" si="20"/>
        <v>55</v>
      </c>
      <c r="B749" s="878">
        <v>2244972</v>
      </c>
      <c r="C749" s="919" t="s">
        <v>978</v>
      </c>
      <c r="D749" s="975">
        <v>0.5</v>
      </c>
      <c r="E749" s="1139"/>
      <c r="F749" s="975">
        <v>0.5</v>
      </c>
      <c r="G749" s="996"/>
      <c r="H749" s="1056"/>
      <c r="I749" s="1056"/>
      <c r="J749" s="1056"/>
      <c r="K749" s="1056"/>
      <c r="L749" s="1056"/>
      <c r="M749" s="1056"/>
      <c r="N749" s="1056"/>
      <c r="O749" s="1056"/>
      <c r="P749" s="1056"/>
      <c r="Q749" s="1056"/>
      <c r="R749" s="1056"/>
      <c r="S749" s="296"/>
      <c r="T749" s="294"/>
      <c r="U749" s="294"/>
      <c r="V749" s="294"/>
      <c r="W749" s="84"/>
      <c r="X749" s="85"/>
      <c r="Y749" s="295"/>
      <c r="Z749" s="1056"/>
      <c r="AA749" s="1056"/>
      <c r="AB749" s="1056"/>
      <c r="AC749" s="1056"/>
      <c r="AD749" s="1056"/>
      <c r="AE749" s="1056"/>
      <c r="AF749" s="1056"/>
      <c r="AG749" s="1056"/>
      <c r="AH749" s="1056"/>
      <c r="AI749" s="1056"/>
      <c r="AJ749" s="1056"/>
      <c r="AK749" s="1056"/>
      <c r="AL749" s="1056"/>
      <c r="AM749" s="1056"/>
      <c r="AN749" s="1056"/>
      <c r="AO749" s="1056"/>
      <c r="AP749" s="1056"/>
      <c r="AQ749" s="1056"/>
      <c r="AR749" s="1056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</row>
    <row r="750" spans="1:86" s="53" customFormat="1" ht="35.65" hidden="1" customHeight="1" x14ac:dyDescent="0.2">
      <c r="A750" s="983">
        <f t="shared" si="20"/>
        <v>56</v>
      </c>
      <c r="B750" s="878">
        <v>2242457</v>
      </c>
      <c r="C750" s="919" t="s">
        <v>146</v>
      </c>
      <c r="D750" s="975">
        <v>0.5</v>
      </c>
      <c r="E750" s="1139"/>
      <c r="F750" s="975">
        <v>0.5</v>
      </c>
      <c r="G750" s="996"/>
      <c r="H750" s="1056"/>
      <c r="I750" s="1056"/>
      <c r="J750" s="1056"/>
      <c r="K750" s="1056"/>
      <c r="L750" s="1056"/>
      <c r="M750" s="1056"/>
      <c r="N750" s="1056"/>
      <c r="O750" s="1056"/>
      <c r="P750" s="1056"/>
      <c r="Q750" s="1056"/>
      <c r="R750" s="1056"/>
      <c r="S750" s="296"/>
      <c r="T750" s="294"/>
      <c r="U750" s="294"/>
      <c r="V750" s="294"/>
      <c r="W750" s="84"/>
      <c r="X750" s="85"/>
      <c r="Y750" s="295"/>
      <c r="Z750" s="1056"/>
      <c r="AA750" s="1056"/>
      <c r="AB750" s="1056"/>
      <c r="AC750" s="1056"/>
      <c r="AD750" s="1056"/>
      <c r="AE750" s="1056"/>
      <c r="AF750" s="1056"/>
      <c r="AG750" s="1056"/>
      <c r="AH750" s="1056"/>
      <c r="AI750" s="1056"/>
      <c r="AJ750" s="1056"/>
      <c r="AK750" s="1056"/>
      <c r="AL750" s="1056"/>
      <c r="AM750" s="1056"/>
      <c r="AN750" s="1056"/>
      <c r="AO750" s="1056"/>
      <c r="AP750" s="1056"/>
      <c r="AQ750" s="1056"/>
      <c r="AR750" s="1056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</row>
    <row r="751" spans="1:86" s="53" customFormat="1" ht="35.65" hidden="1" customHeight="1" x14ac:dyDescent="0.2">
      <c r="A751" s="983">
        <f t="shared" si="20"/>
        <v>57</v>
      </c>
      <c r="B751" s="878">
        <v>2240554</v>
      </c>
      <c r="C751" s="919" t="s">
        <v>147</v>
      </c>
      <c r="D751" s="975">
        <v>1</v>
      </c>
      <c r="E751" s="1139"/>
      <c r="F751" s="975">
        <v>0.4</v>
      </c>
      <c r="G751" s="996"/>
      <c r="H751" s="1056"/>
      <c r="I751" s="1056"/>
      <c r="J751" s="1056"/>
      <c r="K751" s="1056"/>
      <c r="L751" s="1056"/>
      <c r="M751" s="1056"/>
      <c r="N751" s="1056"/>
      <c r="O751" s="1056"/>
      <c r="P751" s="1056"/>
      <c r="Q751" s="1056"/>
      <c r="R751" s="1056"/>
      <c r="S751" s="296"/>
      <c r="T751" s="294"/>
      <c r="U751" s="294"/>
      <c r="V751" s="294"/>
      <c r="W751" s="84"/>
      <c r="X751" s="85"/>
      <c r="Y751" s="295"/>
      <c r="Z751" s="1056"/>
      <c r="AA751" s="1056"/>
      <c r="AB751" s="1056"/>
      <c r="AC751" s="1056"/>
      <c r="AD751" s="1056"/>
      <c r="AE751" s="1056"/>
      <c r="AF751" s="1056"/>
      <c r="AG751" s="1056"/>
      <c r="AH751" s="1056"/>
      <c r="AI751" s="1056"/>
      <c r="AJ751" s="1056"/>
      <c r="AK751" s="1056"/>
      <c r="AL751" s="1056"/>
      <c r="AM751" s="1056"/>
      <c r="AN751" s="1056"/>
      <c r="AO751" s="1056"/>
      <c r="AP751" s="1056"/>
      <c r="AQ751" s="1056"/>
      <c r="AR751" s="1056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</row>
    <row r="752" spans="1:86" s="53" customFormat="1" ht="35.65" hidden="1" customHeight="1" x14ac:dyDescent="0.2">
      <c r="A752" s="983">
        <f t="shared" si="20"/>
        <v>58</v>
      </c>
      <c r="B752" s="878">
        <v>2240538</v>
      </c>
      <c r="C752" s="919" t="s">
        <v>148</v>
      </c>
      <c r="D752" s="975">
        <v>1.5</v>
      </c>
      <c r="E752" s="1139"/>
      <c r="F752" s="975">
        <v>1</v>
      </c>
      <c r="G752" s="996"/>
      <c r="H752" s="1056"/>
      <c r="I752" s="1056"/>
      <c r="J752" s="1056"/>
      <c r="K752" s="1056"/>
      <c r="L752" s="1056"/>
      <c r="M752" s="1056"/>
      <c r="N752" s="1056"/>
      <c r="O752" s="1056"/>
      <c r="P752" s="1056"/>
      <c r="Q752" s="1056"/>
      <c r="R752" s="1056"/>
      <c r="S752" s="296"/>
      <c r="T752" s="294"/>
      <c r="U752" s="294"/>
      <c r="V752" s="294"/>
      <c r="W752" s="84"/>
      <c r="X752" s="85"/>
      <c r="Y752" s="295"/>
      <c r="Z752" s="1056"/>
      <c r="AA752" s="1056"/>
      <c r="AB752" s="1056"/>
      <c r="AC752" s="1056"/>
      <c r="AD752" s="1056"/>
      <c r="AE752" s="1056"/>
      <c r="AF752" s="1056"/>
      <c r="AG752" s="1056"/>
      <c r="AH752" s="1056"/>
      <c r="AI752" s="1056"/>
      <c r="AJ752" s="1056"/>
      <c r="AK752" s="1056"/>
      <c r="AL752" s="1056"/>
      <c r="AM752" s="1056"/>
      <c r="AN752" s="1056"/>
      <c r="AO752" s="1056"/>
      <c r="AP752" s="1056"/>
      <c r="AQ752" s="1056"/>
      <c r="AR752" s="1056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</row>
    <row r="753" spans="1:86" s="53" customFormat="1" ht="35.65" hidden="1" customHeight="1" x14ac:dyDescent="0.2">
      <c r="A753" s="983">
        <f t="shared" si="20"/>
        <v>59</v>
      </c>
      <c r="B753" s="878">
        <v>2239095</v>
      </c>
      <c r="C753" s="919" t="s">
        <v>149</v>
      </c>
      <c r="D753" s="975">
        <v>0.5</v>
      </c>
      <c r="E753" s="1139"/>
      <c r="F753" s="975">
        <v>0.5</v>
      </c>
      <c r="G753" s="996"/>
      <c r="H753" s="1056"/>
      <c r="I753" s="1056"/>
      <c r="J753" s="1056"/>
      <c r="K753" s="1056"/>
      <c r="L753" s="1056"/>
      <c r="M753" s="1056"/>
      <c r="N753" s="1056"/>
      <c r="O753" s="1056"/>
      <c r="P753" s="1056"/>
      <c r="Q753" s="1056"/>
      <c r="R753" s="1056"/>
      <c r="S753" s="296"/>
      <c r="T753" s="294"/>
      <c r="U753" s="294"/>
      <c r="V753" s="294"/>
      <c r="W753" s="84"/>
      <c r="X753" s="85"/>
      <c r="Y753" s="295"/>
      <c r="Z753" s="1056"/>
      <c r="AA753" s="1056"/>
      <c r="AB753" s="1056"/>
      <c r="AC753" s="1056"/>
      <c r="AD753" s="1056"/>
      <c r="AE753" s="1056"/>
      <c r="AF753" s="1056"/>
      <c r="AG753" s="1056"/>
      <c r="AH753" s="1056"/>
      <c r="AI753" s="1056"/>
      <c r="AJ753" s="1056"/>
      <c r="AK753" s="1056"/>
      <c r="AL753" s="1056"/>
      <c r="AM753" s="1056"/>
      <c r="AN753" s="1056"/>
      <c r="AO753" s="1056"/>
      <c r="AP753" s="1056"/>
      <c r="AQ753" s="1056"/>
      <c r="AR753" s="1056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</row>
    <row r="754" spans="1:86" s="53" customFormat="1" ht="35.65" hidden="1" customHeight="1" x14ac:dyDescent="0.2">
      <c r="A754" s="983">
        <f t="shared" si="20"/>
        <v>60</v>
      </c>
      <c r="B754" s="878">
        <v>2239478</v>
      </c>
      <c r="C754" s="919" t="s">
        <v>150</v>
      </c>
      <c r="D754" s="975">
        <v>0.6</v>
      </c>
      <c r="E754" s="1139"/>
      <c r="F754" s="975">
        <v>0.6</v>
      </c>
      <c r="G754" s="996"/>
      <c r="H754" s="1056"/>
      <c r="I754" s="1056"/>
      <c r="J754" s="1056"/>
      <c r="K754" s="1056"/>
      <c r="L754" s="1056"/>
      <c r="M754" s="1056"/>
      <c r="N754" s="1056"/>
      <c r="O754" s="1056"/>
      <c r="P754" s="1056"/>
      <c r="Q754" s="1056"/>
      <c r="R754" s="1056"/>
      <c r="S754" s="296"/>
      <c r="T754" s="294"/>
      <c r="U754" s="294"/>
      <c r="V754" s="294"/>
      <c r="W754" s="84"/>
      <c r="X754" s="85"/>
      <c r="Y754" s="295"/>
      <c r="Z754" s="1056"/>
      <c r="AA754" s="1056"/>
      <c r="AB754" s="1056"/>
      <c r="AC754" s="1056"/>
      <c r="AD754" s="1056"/>
      <c r="AE754" s="1056"/>
      <c r="AF754" s="1056"/>
      <c r="AG754" s="1056"/>
      <c r="AH754" s="1056"/>
      <c r="AI754" s="1056"/>
      <c r="AJ754" s="1056"/>
      <c r="AK754" s="1056"/>
      <c r="AL754" s="1056"/>
      <c r="AM754" s="1056"/>
      <c r="AN754" s="1056"/>
      <c r="AO754" s="1056"/>
      <c r="AP754" s="1056"/>
      <c r="AQ754" s="1056"/>
      <c r="AR754" s="1056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</row>
    <row r="755" spans="1:86" s="53" customFormat="1" ht="35.65" hidden="1" customHeight="1" x14ac:dyDescent="0.2">
      <c r="A755" s="983">
        <f t="shared" si="20"/>
        <v>61</v>
      </c>
      <c r="B755" s="878">
        <v>2244892</v>
      </c>
      <c r="C755" s="919" t="s">
        <v>151</v>
      </c>
      <c r="D755" s="975">
        <v>0.5</v>
      </c>
      <c r="E755" s="1139"/>
      <c r="F755" s="975">
        <v>0.5</v>
      </c>
      <c r="G755" s="996"/>
      <c r="H755" s="1056"/>
      <c r="I755" s="1056"/>
      <c r="J755" s="1056"/>
      <c r="K755" s="1056"/>
      <c r="L755" s="1056"/>
      <c r="M755" s="1056"/>
      <c r="N755" s="1056"/>
      <c r="O755" s="1056"/>
      <c r="P755" s="1056"/>
      <c r="Q755" s="1056"/>
      <c r="R755" s="1056"/>
      <c r="S755" s="296"/>
      <c r="T755" s="294"/>
      <c r="U755" s="294"/>
      <c r="V755" s="294"/>
      <c r="W755" s="84"/>
      <c r="X755" s="85"/>
      <c r="Y755" s="295"/>
      <c r="Z755" s="1056"/>
      <c r="AA755" s="1056"/>
      <c r="AB755" s="1056"/>
      <c r="AC755" s="1056"/>
      <c r="AD755" s="1056"/>
      <c r="AE755" s="1056"/>
      <c r="AF755" s="1056"/>
      <c r="AG755" s="1056"/>
      <c r="AH755" s="1056"/>
      <c r="AI755" s="1056"/>
      <c r="AJ755" s="1056"/>
      <c r="AK755" s="1056"/>
      <c r="AL755" s="1056"/>
      <c r="AM755" s="1056"/>
      <c r="AN755" s="1056"/>
      <c r="AO755" s="1056"/>
      <c r="AP755" s="1056"/>
      <c r="AQ755" s="1056"/>
      <c r="AR755" s="1056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</row>
    <row r="756" spans="1:86" s="53" customFormat="1" ht="35.65" hidden="1" customHeight="1" x14ac:dyDescent="0.2">
      <c r="A756" s="983">
        <f t="shared" si="20"/>
        <v>62</v>
      </c>
      <c r="B756" s="878">
        <v>2241498</v>
      </c>
      <c r="C756" s="919" t="s">
        <v>665</v>
      </c>
      <c r="D756" s="975">
        <v>0.3</v>
      </c>
      <c r="E756" s="1139"/>
      <c r="F756" s="975">
        <v>0.3</v>
      </c>
      <c r="G756" s="996"/>
      <c r="H756" s="1056"/>
      <c r="I756" s="1056"/>
      <c r="J756" s="1056"/>
      <c r="K756" s="1056"/>
      <c r="L756" s="1056"/>
      <c r="M756" s="1056"/>
      <c r="N756" s="1056"/>
      <c r="O756" s="1056"/>
      <c r="P756" s="1056"/>
      <c r="Q756" s="1056"/>
      <c r="R756" s="1056"/>
      <c r="S756" s="296"/>
      <c r="T756" s="294"/>
      <c r="U756" s="294"/>
      <c r="V756" s="294"/>
      <c r="W756" s="84"/>
      <c r="X756" s="85"/>
      <c r="Y756" s="295"/>
      <c r="Z756" s="1056"/>
      <c r="AA756" s="1056"/>
      <c r="AB756" s="1056"/>
      <c r="AC756" s="1056"/>
      <c r="AD756" s="1056"/>
      <c r="AE756" s="1056"/>
      <c r="AF756" s="1056"/>
      <c r="AG756" s="1056"/>
      <c r="AH756" s="1056"/>
      <c r="AI756" s="1056"/>
      <c r="AJ756" s="1056"/>
      <c r="AK756" s="1056"/>
      <c r="AL756" s="1056"/>
      <c r="AM756" s="1056"/>
      <c r="AN756" s="1056"/>
      <c r="AO756" s="1056"/>
      <c r="AP756" s="1056"/>
      <c r="AQ756" s="1056"/>
      <c r="AR756" s="1056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</row>
    <row r="757" spans="1:86" s="53" customFormat="1" ht="35.65" hidden="1" customHeight="1" x14ac:dyDescent="0.2">
      <c r="A757" s="983">
        <f t="shared" si="20"/>
        <v>63</v>
      </c>
      <c r="B757" s="878">
        <v>2240760</v>
      </c>
      <c r="C757" s="919" t="s">
        <v>501</v>
      </c>
      <c r="D757" s="975">
        <v>0.3</v>
      </c>
      <c r="E757" s="1139"/>
      <c r="F757" s="975">
        <v>0.3</v>
      </c>
      <c r="G757" s="996"/>
      <c r="H757" s="1056"/>
      <c r="I757" s="1056"/>
      <c r="J757" s="1056"/>
      <c r="K757" s="1056"/>
      <c r="L757" s="1056"/>
      <c r="M757" s="1056"/>
      <c r="N757" s="1056"/>
      <c r="O757" s="1056"/>
      <c r="P757" s="1056"/>
      <c r="Q757" s="1056"/>
      <c r="R757" s="1056"/>
      <c r="S757" s="296"/>
      <c r="T757" s="294"/>
      <c r="U757" s="294"/>
      <c r="V757" s="294"/>
      <c r="W757" s="84"/>
      <c r="X757" s="85"/>
      <c r="Y757" s="295"/>
      <c r="Z757" s="1056"/>
      <c r="AA757" s="1056"/>
      <c r="AB757" s="1056"/>
      <c r="AC757" s="1056"/>
      <c r="AD757" s="1056"/>
      <c r="AE757" s="1056"/>
      <c r="AF757" s="1056"/>
      <c r="AG757" s="1056"/>
      <c r="AH757" s="1056"/>
      <c r="AI757" s="1056"/>
      <c r="AJ757" s="1056"/>
      <c r="AK757" s="1056"/>
      <c r="AL757" s="1056"/>
      <c r="AM757" s="1056"/>
      <c r="AN757" s="1056"/>
      <c r="AO757" s="1056"/>
      <c r="AP757" s="1056"/>
      <c r="AQ757" s="1056"/>
      <c r="AR757" s="1056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</row>
    <row r="758" spans="1:86" s="53" customFormat="1" ht="35.65" hidden="1" customHeight="1" x14ac:dyDescent="0.2">
      <c r="A758" s="983">
        <f t="shared" si="20"/>
        <v>64</v>
      </c>
      <c r="B758" s="878">
        <v>2244615</v>
      </c>
      <c r="C758" s="919" t="s">
        <v>152</v>
      </c>
      <c r="D758" s="975">
        <v>0.7</v>
      </c>
      <c r="E758" s="1139"/>
      <c r="F758" s="975">
        <v>0.7</v>
      </c>
      <c r="G758" s="996"/>
      <c r="H758" s="1056"/>
      <c r="I758" s="1056"/>
      <c r="J758" s="1056"/>
      <c r="K758" s="1056"/>
      <c r="L758" s="1056"/>
      <c r="M758" s="1056"/>
      <c r="N758" s="1056"/>
      <c r="O758" s="1056"/>
      <c r="P758" s="1056"/>
      <c r="Q758" s="1056"/>
      <c r="R758" s="1056"/>
      <c r="S758" s="296"/>
      <c r="T758" s="294"/>
      <c r="U758" s="294"/>
      <c r="V758" s="294"/>
      <c r="W758" s="84"/>
      <c r="X758" s="85"/>
      <c r="Y758" s="295"/>
      <c r="Z758" s="1056"/>
      <c r="AA758" s="1056"/>
      <c r="AB758" s="1056"/>
      <c r="AC758" s="1056"/>
      <c r="AD758" s="1056"/>
      <c r="AE758" s="1056"/>
      <c r="AF758" s="1056"/>
      <c r="AG758" s="1056"/>
      <c r="AH758" s="1056"/>
      <c r="AI758" s="1056"/>
      <c r="AJ758" s="1056"/>
      <c r="AK758" s="1056"/>
      <c r="AL758" s="1056"/>
      <c r="AM758" s="1056"/>
      <c r="AN758" s="1056"/>
      <c r="AO758" s="1056"/>
      <c r="AP758" s="1056"/>
      <c r="AQ758" s="1056"/>
      <c r="AR758" s="1056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</row>
    <row r="759" spans="1:86" s="53" customFormat="1" ht="35.65" hidden="1" customHeight="1" x14ac:dyDescent="0.2">
      <c r="A759" s="983">
        <f t="shared" si="20"/>
        <v>65</v>
      </c>
      <c r="B759" s="878">
        <v>2246579</v>
      </c>
      <c r="C759" s="919" t="s">
        <v>153</v>
      </c>
      <c r="D759" s="975">
        <v>0.8</v>
      </c>
      <c r="E759" s="1139"/>
      <c r="F759" s="975">
        <v>0.8</v>
      </c>
      <c r="G759" s="996"/>
      <c r="H759" s="1056"/>
      <c r="I759" s="1056"/>
      <c r="J759" s="1056"/>
      <c r="K759" s="1056"/>
      <c r="L759" s="1056"/>
      <c r="M759" s="1056"/>
      <c r="N759" s="1056"/>
      <c r="O759" s="1056"/>
      <c r="P759" s="1056"/>
      <c r="Q759" s="1056"/>
      <c r="R759" s="1056"/>
      <c r="S759" s="296"/>
      <c r="T759" s="294"/>
      <c r="U759" s="294"/>
      <c r="V759" s="294"/>
      <c r="W759" s="84"/>
      <c r="X759" s="85"/>
      <c r="Y759" s="295"/>
      <c r="Z759" s="1056"/>
      <c r="AA759" s="1056"/>
      <c r="AB759" s="1056"/>
      <c r="AC759" s="1056"/>
      <c r="AD759" s="1056"/>
      <c r="AE759" s="1056"/>
      <c r="AF759" s="1056"/>
      <c r="AG759" s="1056"/>
      <c r="AH759" s="1056"/>
      <c r="AI759" s="1056"/>
      <c r="AJ759" s="1056"/>
      <c r="AK759" s="1056"/>
      <c r="AL759" s="1056"/>
      <c r="AM759" s="1056"/>
      <c r="AN759" s="1056"/>
      <c r="AO759" s="1056"/>
      <c r="AP759" s="1056"/>
      <c r="AQ759" s="1056"/>
      <c r="AR759" s="1056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</row>
    <row r="760" spans="1:86" s="53" customFormat="1" ht="35.65" hidden="1" customHeight="1" x14ac:dyDescent="0.2">
      <c r="A760" s="983">
        <f t="shared" si="20"/>
        <v>66</v>
      </c>
      <c r="B760" s="878">
        <v>2240159</v>
      </c>
      <c r="C760" s="919" t="s">
        <v>154</v>
      </c>
      <c r="D760" s="975">
        <v>0.8</v>
      </c>
      <c r="E760" s="1139"/>
      <c r="F760" s="975">
        <v>0.8</v>
      </c>
      <c r="G760" s="996"/>
      <c r="H760" s="1056"/>
      <c r="I760" s="1056"/>
      <c r="J760" s="1056"/>
      <c r="K760" s="1056"/>
      <c r="L760" s="1056"/>
      <c r="M760" s="1056"/>
      <c r="N760" s="1056"/>
      <c r="O760" s="1056"/>
      <c r="P760" s="1056"/>
      <c r="Q760" s="1056"/>
      <c r="R760" s="1056"/>
      <c r="S760" s="296"/>
      <c r="T760" s="294"/>
      <c r="U760" s="294"/>
      <c r="V760" s="294"/>
      <c r="W760" s="84"/>
      <c r="X760" s="85"/>
      <c r="Y760" s="295"/>
      <c r="Z760" s="1056"/>
      <c r="AA760" s="1056"/>
      <c r="AB760" s="1056"/>
      <c r="AC760" s="1056"/>
      <c r="AD760" s="1056"/>
      <c r="AE760" s="1056"/>
      <c r="AF760" s="1056"/>
      <c r="AG760" s="1056"/>
      <c r="AH760" s="1056"/>
      <c r="AI760" s="1056"/>
      <c r="AJ760" s="1056"/>
      <c r="AK760" s="1056"/>
      <c r="AL760" s="1056"/>
      <c r="AM760" s="1056"/>
      <c r="AN760" s="1056"/>
      <c r="AO760" s="1056"/>
      <c r="AP760" s="1056"/>
      <c r="AQ760" s="1056"/>
      <c r="AR760" s="1056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</row>
    <row r="761" spans="1:86" s="53" customFormat="1" ht="35.65" hidden="1" customHeight="1" x14ac:dyDescent="0.2">
      <c r="A761" s="983">
        <f t="shared" ref="A761:A787" si="21">A760+1</f>
        <v>67</v>
      </c>
      <c r="B761" s="878">
        <v>2243879</v>
      </c>
      <c r="C761" s="919" t="s">
        <v>155</v>
      </c>
      <c r="D761" s="975">
        <v>0.5</v>
      </c>
      <c r="E761" s="1139"/>
      <c r="F761" s="975">
        <v>0.5</v>
      </c>
      <c r="G761" s="996"/>
      <c r="H761" s="1056"/>
      <c r="I761" s="1056"/>
      <c r="J761" s="1056"/>
      <c r="K761" s="1056"/>
      <c r="L761" s="1056"/>
      <c r="M761" s="1056"/>
      <c r="N761" s="1056"/>
      <c r="O761" s="1056"/>
      <c r="P761" s="1056"/>
      <c r="Q761" s="1056"/>
      <c r="R761" s="1056"/>
      <c r="S761" s="296"/>
      <c r="T761" s="294"/>
      <c r="U761" s="294"/>
      <c r="V761" s="294"/>
      <c r="W761" s="84"/>
      <c r="X761" s="85"/>
      <c r="Y761" s="295"/>
      <c r="Z761" s="1056"/>
      <c r="AA761" s="1056"/>
      <c r="AB761" s="1056"/>
      <c r="AC761" s="1056"/>
      <c r="AD761" s="1056"/>
      <c r="AE761" s="1056"/>
      <c r="AF761" s="1056"/>
      <c r="AG761" s="1056"/>
      <c r="AH761" s="1056"/>
      <c r="AI761" s="1056"/>
      <c r="AJ761" s="1056"/>
      <c r="AK761" s="1056"/>
      <c r="AL761" s="1056"/>
      <c r="AM761" s="1056"/>
      <c r="AN761" s="1056"/>
      <c r="AO761" s="1056"/>
      <c r="AP761" s="1056"/>
      <c r="AQ761" s="1056"/>
      <c r="AR761" s="1056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</row>
    <row r="762" spans="1:86" s="53" customFormat="1" ht="35.65" hidden="1" customHeight="1" x14ac:dyDescent="0.2">
      <c r="A762" s="983">
        <f t="shared" si="21"/>
        <v>68</v>
      </c>
      <c r="B762" s="878">
        <v>2242408</v>
      </c>
      <c r="C762" s="919" t="s">
        <v>156</v>
      </c>
      <c r="D762" s="975">
        <v>0.8</v>
      </c>
      <c r="E762" s="1139"/>
      <c r="F762" s="975">
        <v>0.8</v>
      </c>
      <c r="G762" s="996"/>
      <c r="H762" s="1056"/>
      <c r="I762" s="1056"/>
      <c r="J762" s="1056"/>
      <c r="K762" s="1056"/>
      <c r="L762" s="1056"/>
      <c r="M762" s="1056"/>
      <c r="N762" s="1056"/>
      <c r="O762" s="1056"/>
      <c r="P762" s="1056"/>
      <c r="Q762" s="1056"/>
      <c r="R762" s="1056"/>
      <c r="S762" s="296"/>
      <c r="T762" s="294"/>
      <c r="U762" s="294"/>
      <c r="V762" s="294"/>
      <c r="W762" s="84"/>
      <c r="X762" s="85"/>
      <c r="Y762" s="295"/>
      <c r="Z762" s="1056"/>
      <c r="AA762" s="1056"/>
      <c r="AB762" s="1056"/>
      <c r="AC762" s="1056"/>
      <c r="AD762" s="1056"/>
      <c r="AE762" s="1056"/>
      <c r="AF762" s="1056"/>
      <c r="AG762" s="1056"/>
      <c r="AH762" s="1056"/>
      <c r="AI762" s="1056"/>
      <c r="AJ762" s="1056"/>
      <c r="AK762" s="1056"/>
      <c r="AL762" s="1056"/>
      <c r="AM762" s="1056"/>
      <c r="AN762" s="1056"/>
      <c r="AO762" s="1056"/>
      <c r="AP762" s="1056"/>
      <c r="AQ762" s="1056"/>
      <c r="AR762" s="1056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</row>
    <row r="763" spans="1:86" s="53" customFormat="1" ht="35.65" hidden="1" customHeight="1" x14ac:dyDescent="0.2">
      <c r="A763" s="983">
        <f t="shared" si="21"/>
        <v>69</v>
      </c>
      <c r="B763" s="878">
        <v>2243803</v>
      </c>
      <c r="C763" s="919" t="s">
        <v>157</v>
      </c>
      <c r="D763" s="975">
        <v>0.5</v>
      </c>
      <c r="E763" s="1139"/>
      <c r="F763" s="975">
        <v>0.5</v>
      </c>
      <c r="G763" s="996"/>
      <c r="H763" s="1056"/>
      <c r="I763" s="1056"/>
      <c r="J763" s="1056"/>
      <c r="K763" s="1056"/>
      <c r="L763" s="1056"/>
      <c r="M763" s="1056"/>
      <c r="N763" s="1056"/>
      <c r="O763" s="1056"/>
      <c r="P763" s="1056"/>
      <c r="Q763" s="1056"/>
      <c r="R763" s="1056"/>
      <c r="S763" s="296"/>
      <c r="T763" s="294"/>
      <c r="U763" s="294"/>
      <c r="V763" s="294"/>
      <c r="W763" s="84"/>
      <c r="X763" s="85"/>
      <c r="Y763" s="295"/>
      <c r="Z763" s="1056"/>
      <c r="AA763" s="1056"/>
      <c r="AB763" s="1056"/>
      <c r="AC763" s="1056"/>
      <c r="AD763" s="1056"/>
      <c r="AE763" s="1056"/>
      <c r="AF763" s="1056"/>
      <c r="AG763" s="1056"/>
      <c r="AH763" s="1056"/>
      <c r="AI763" s="1056"/>
      <c r="AJ763" s="1056"/>
      <c r="AK763" s="1056"/>
      <c r="AL763" s="1056"/>
      <c r="AM763" s="1056"/>
      <c r="AN763" s="1056"/>
      <c r="AO763" s="1056"/>
      <c r="AP763" s="1056"/>
      <c r="AQ763" s="1056"/>
      <c r="AR763" s="1056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</row>
    <row r="764" spans="1:86" s="53" customFormat="1" ht="35.65" hidden="1" customHeight="1" x14ac:dyDescent="0.2">
      <c r="A764" s="983">
        <f t="shared" si="21"/>
        <v>70</v>
      </c>
      <c r="B764" s="878">
        <v>2245131</v>
      </c>
      <c r="C764" s="919" t="s">
        <v>639</v>
      </c>
      <c r="D764" s="975">
        <v>0.4</v>
      </c>
      <c r="E764" s="1139"/>
      <c r="F764" s="975">
        <v>0.4</v>
      </c>
      <c r="G764" s="996"/>
      <c r="H764" s="1056"/>
      <c r="I764" s="1056"/>
      <c r="J764" s="1056"/>
      <c r="K764" s="1056"/>
      <c r="L764" s="1056"/>
      <c r="M764" s="1056"/>
      <c r="N764" s="1056"/>
      <c r="O764" s="1056"/>
      <c r="P764" s="1056"/>
      <c r="Q764" s="1056"/>
      <c r="R764" s="1056"/>
      <c r="S764" s="296"/>
      <c r="T764" s="294"/>
      <c r="U764" s="294"/>
      <c r="V764" s="294"/>
      <c r="W764" s="84"/>
      <c r="X764" s="85"/>
      <c r="Y764" s="295"/>
      <c r="Z764" s="1056"/>
      <c r="AA764" s="1056"/>
      <c r="AB764" s="1056"/>
      <c r="AC764" s="1056"/>
      <c r="AD764" s="1056"/>
      <c r="AE764" s="1056"/>
      <c r="AF764" s="1056"/>
      <c r="AG764" s="1056"/>
      <c r="AH764" s="1056"/>
      <c r="AI764" s="1056"/>
      <c r="AJ764" s="1056"/>
      <c r="AK764" s="1056"/>
      <c r="AL764" s="1056"/>
      <c r="AM764" s="1056"/>
      <c r="AN764" s="1056"/>
      <c r="AO764" s="1056"/>
      <c r="AP764" s="1056"/>
      <c r="AQ764" s="1056"/>
      <c r="AR764" s="1056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</row>
    <row r="765" spans="1:86" s="53" customFormat="1" ht="35.65" hidden="1" customHeight="1" x14ac:dyDescent="0.2">
      <c r="A765" s="983">
        <f t="shared" si="21"/>
        <v>71</v>
      </c>
      <c r="B765" s="878">
        <v>2240614</v>
      </c>
      <c r="C765" s="919" t="s">
        <v>158</v>
      </c>
      <c r="D765" s="975">
        <v>0.7</v>
      </c>
      <c r="E765" s="1139"/>
      <c r="F765" s="975">
        <v>0.7</v>
      </c>
      <c r="G765" s="996"/>
      <c r="H765" s="1056"/>
      <c r="I765" s="1056"/>
      <c r="J765" s="1056"/>
      <c r="K765" s="1056"/>
      <c r="L765" s="1056"/>
      <c r="M765" s="1056"/>
      <c r="N765" s="1056"/>
      <c r="O765" s="1056"/>
      <c r="P765" s="1056"/>
      <c r="Q765" s="1056"/>
      <c r="R765" s="1056"/>
      <c r="S765" s="296"/>
      <c r="T765" s="294"/>
      <c r="U765" s="294"/>
      <c r="V765" s="294"/>
      <c r="W765" s="84"/>
      <c r="X765" s="85"/>
      <c r="Y765" s="295"/>
      <c r="Z765" s="1056"/>
      <c r="AA765" s="1056"/>
      <c r="AB765" s="1056"/>
      <c r="AC765" s="1056"/>
      <c r="AD765" s="1056"/>
      <c r="AE765" s="1056"/>
      <c r="AF765" s="1056"/>
      <c r="AG765" s="1056"/>
      <c r="AH765" s="1056"/>
      <c r="AI765" s="1056"/>
      <c r="AJ765" s="1056"/>
      <c r="AK765" s="1056"/>
      <c r="AL765" s="1056"/>
      <c r="AM765" s="1056"/>
      <c r="AN765" s="1056"/>
      <c r="AO765" s="1056"/>
      <c r="AP765" s="1056"/>
      <c r="AQ765" s="1056"/>
      <c r="AR765" s="1056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</row>
    <row r="766" spans="1:86" s="53" customFormat="1" ht="35.65" hidden="1" customHeight="1" x14ac:dyDescent="0.2">
      <c r="A766" s="983">
        <f t="shared" si="21"/>
        <v>72</v>
      </c>
      <c r="B766" s="878">
        <v>2246138</v>
      </c>
      <c r="C766" s="919" t="s">
        <v>159</v>
      </c>
      <c r="D766" s="975">
        <v>0.8</v>
      </c>
      <c r="E766" s="1139"/>
      <c r="F766" s="975">
        <v>0.4</v>
      </c>
      <c r="G766" s="996"/>
      <c r="H766" s="1056"/>
      <c r="I766" s="1056"/>
      <c r="J766" s="1056"/>
      <c r="K766" s="1056"/>
      <c r="L766" s="1056"/>
      <c r="M766" s="1056"/>
      <c r="N766" s="1056"/>
      <c r="O766" s="1056"/>
      <c r="P766" s="1056"/>
      <c r="Q766" s="1056"/>
      <c r="R766" s="1056"/>
      <c r="S766" s="296"/>
      <c r="T766" s="294"/>
      <c r="U766" s="294"/>
      <c r="V766" s="294"/>
      <c r="W766" s="84"/>
      <c r="X766" s="85"/>
      <c r="Y766" s="295"/>
      <c r="Z766" s="1056"/>
      <c r="AA766" s="1056"/>
      <c r="AB766" s="1056"/>
      <c r="AC766" s="1056"/>
      <c r="AD766" s="1056"/>
      <c r="AE766" s="1056"/>
      <c r="AF766" s="1056"/>
      <c r="AG766" s="1056"/>
      <c r="AH766" s="1056"/>
      <c r="AI766" s="1056"/>
      <c r="AJ766" s="1056"/>
      <c r="AK766" s="1056"/>
      <c r="AL766" s="1056"/>
      <c r="AM766" s="1056"/>
      <c r="AN766" s="1056"/>
      <c r="AO766" s="1056"/>
      <c r="AP766" s="1056"/>
      <c r="AQ766" s="1056"/>
      <c r="AR766" s="1056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</row>
    <row r="767" spans="1:86" s="53" customFormat="1" ht="35.65" hidden="1" customHeight="1" x14ac:dyDescent="0.2">
      <c r="A767" s="983">
        <f t="shared" si="21"/>
        <v>73</v>
      </c>
      <c r="B767" s="878">
        <v>2240130</v>
      </c>
      <c r="C767" s="919" t="s">
        <v>640</v>
      </c>
      <c r="D767" s="975">
        <v>0.3</v>
      </c>
      <c r="E767" s="1139"/>
      <c r="F767" s="975">
        <v>0.3</v>
      </c>
      <c r="G767" s="996"/>
      <c r="H767" s="1056"/>
      <c r="I767" s="1056"/>
      <c r="J767" s="1056"/>
      <c r="K767" s="1056"/>
      <c r="L767" s="1056"/>
      <c r="M767" s="1056"/>
      <c r="N767" s="1056"/>
      <c r="O767" s="1056"/>
      <c r="P767" s="1056"/>
      <c r="Q767" s="1056"/>
      <c r="R767" s="1056"/>
      <c r="S767" s="296"/>
      <c r="T767" s="294"/>
      <c r="U767" s="294"/>
      <c r="V767" s="294"/>
      <c r="W767" s="84"/>
      <c r="X767" s="85"/>
      <c r="Y767" s="295"/>
      <c r="Z767" s="1056"/>
      <c r="AA767" s="1056"/>
      <c r="AB767" s="1056"/>
      <c r="AC767" s="1056"/>
      <c r="AD767" s="1056"/>
      <c r="AE767" s="1056"/>
      <c r="AF767" s="1056"/>
      <c r="AG767" s="1056"/>
      <c r="AH767" s="1056"/>
      <c r="AI767" s="1056"/>
      <c r="AJ767" s="1056"/>
      <c r="AK767" s="1056"/>
      <c r="AL767" s="1056"/>
      <c r="AM767" s="1056"/>
      <c r="AN767" s="1056"/>
      <c r="AO767" s="1056"/>
      <c r="AP767" s="1056"/>
      <c r="AQ767" s="1056"/>
      <c r="AR767" s="1056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</row>
    <row r="768" spans="1:86" s="53" customFormat="1" ht="35.65" hidden="1" customHeight="1" x14ac:dyDescent="0.2">
      <c r="A768" s="983">
        <f t="shared" si="21"/>
        <v>74</v>
      </c>
      <c r="B768" s="878">
        <v>2243152</v>
      </c>
      <c r="C768" s="919" t="s">
        <v>641</v>
      </c>
      <c r="D768" s="975">
        <v>0.5</v>
      </c>
      <c r="E768" s="1139"/>
      <c r="F768" s="975">
        <v>0.5</v>
      </c>
      <c r="G768" s="996"/>
      <c r="H768" s="1056"/>
      <c r="I768" s="1056"/>
      <c r="J768" s="1056"/>
      <c r="K768" s="1056"/>
      <c r="L768" s="1056"/>
      <c r="M768" s="1056"/>
      <c r="N768" s="1056"/>
      <c r="O768" s="1056"/>
      <c r="P768" s="1056"/>
      <c r="Q768" s="1056"/>
      <c r="R768" s="1056"/>
      <c r="S768" s="296"/>
      <c r="T768" s="294"/>
      <c r="U768" s="294"/>
      <c r="V768" s="294"/>
      <c r="W768" s="84"/>
      <c r="X768" s="85"/>
      <c r="Y768" s="295"/>
      <c r="Z768" s="1056"/>
      <c r="AA768" s="1056"/>
      <c r="AB768" s="1056"/>
      <c r="AC768" s="1056"/>
      <c r="AD768" s="1056"/>
      <c r="AE768" s="1056"/>
      <c r="AF768" s="1056"/>
      <c r="AG768" s="1056"/>
      <c r="AH768" s="1056"/>
      <c r="AI768" s="1056"/>
      <c r="AJ768" s="1056"/>
      <c r="AK768" s="1056"/>
      <c r="AL768" s="1056"/>
      <c r="AM768" s="1056"/>
      <c r="AN768" s="1056"/>
      <c r="AO768" s="1056"/>
      <c r="AP768" s="1056"/>
      <c r="AQ768" s="1056"/>
      <c r="AR768" s="1056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</row>
    <row r="769" spans="1:86" s="53" customFormat="1" ht="35.65" hidden="1" customHeight="1" x14ac:dyDescent="0.2">
      <c r="A769" s="983">
        <f t="shared" si="21"/>
        <v>75</v>
      </c>
      <c r="B769" s="878">
        <v>2243000</v>
      </c>
      <c r="C769" s="919" t="s">
        <v>642</v>
      </c>
      <c r="D769" s="975">
        <v>0.4</v>
      </c>
      <c r="E769" s="1139"/>
      <c r="F769" s="975">
        <v>0.4</v>
      </c>
      <c r="G769" s="996"/>
      <c r="H769" s="1056"/>
      <c r="I769" s="1056"/>
      <c r="J769" s="1056"/>
      <c r="K769" s="1056"/>
      <c r="L769" s="1056"/>
      <c r="M769" s="1056"/>
      <c r="N769" s="1056"/>
      <c r="O769" s="1056"/>
      <c r="P769" s="1056"/>
      <c r="Q769" s="1056"/>
      <c r="R769" s="1056"/>
      <c r="S769" s="296"/>
      <c r="T769" s="294"/>
      <c r="U769" s="294"/>
      <c r="V769" s="294"/>
      <c r="W769" s="84"/>
      <c r="X769" s="85"/>
      <c r="Y769" s="295"/>
      <c r="Z769" s="1056"/>
      <c r="AA769" s="1056"/>
      <c r="AB769" s="1056"/>
      <c r="AC769" s="1056"/>
      <c r="AD769" s="1056"/>
      <c r="AE769" s="1056"/>
      <c r="AF769" s="1056"/>
      <c r="AG769" s="1056"/>
      <c r="AH769" s="1056"/>
      <c r="AI769" s="1056"/>
      <c r="AJ769" s="1056"/>
      <c r="AK769" s="1056"/>
      <c r="AL769" s="1056"/>
      <c r="AM769" s="1056"/>
      <c r="AN769" s="1056"/>
      <c r="AO769" s="1056"/>
      <c r="AP769" s="1056"/>
      <c r="AQ769" s="1056"/>
      <c r="AR769" s="1056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</row>
    <row r="770" spans="1:86" s="53" customFormat="1" ht="35.65" hidden="1" customHeight="1" x14ac:dyDescent="0.2">
      <c r="A770" s="983">
        <f t="shared" si="21"/>
        <v>76</v>
      </c>
      <c r="B770" s="878">
        <v>2246494</v>
      </c>
      <c r="C770" s="919" t="s">
        <v>643</v>
      </c>
      <c r="D770" s="975">
        <v>0.5</v>
      </c>
      <c r="E770" s="1139"/>
      <c r="F770" s="975">
        <v>0.5</v>
      </c>
      <c r="G770" s="996"/>
      <c r="H770" s="1056"/>
      <c r="I770" s="1056"/>
      <c r="J770" s="1056"/>
      <c r="K770" s="1056"/>
      <c r="L770" s="1056"/>
      <c r="M770" s="1056"/>
      <c r="N770" s="1056"/>
      <c r="O770" s="1056"/>
      <c r="P770" s="1056"/>
      <c r="Q770" s="1056"/>
      <c r="R770" s="1056"/>
      <c r="S770" s="296"/>
      <c r="T770" s="294"/>
      <c r="U770" s="294"/>
      <c r="V770" s="294"/>
      <c r="W770" s="84"/>
      <c r="X770" s="85"/>
      <c r="Y770" s="295"/>
      <c r="Z770" s="1056"/>
      <c r="AA770" s="1056"/>
      <c r="AB770" s="1056"/>
      <c r="AC770" s="1056"/>
      <c r="AD770" s="1056"/>
      <c r="AE770" s="1056"/>
      <c r="AF770" s="1056"/>
      <c r="AG770" s="1056"/>
      <c r="AH770" s="1056"/>
      <c r="AI770" s="1056"/>
      <c r="AJ770" s="1056"/>
      <c r="AK770" s="1056"/>
      <c r="AL770" s="1056"/>
      <c r="AM770" s="1056"/>
      <c r="AN770" s="1056"/>
      <c r="AO770" s="1056"/>
      <c r="AP770" s="1056"/>
      <c r="AQ770" s="1056"/>
      <c r="AR770" s="1056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</row>
    <row r="771" spans="1:86" s="53" customFormat="1" ht="35.65" hidden="1" customHeight="1" x14ac:dyDescent="0.2">
      <c r="A771" s="983">
        <f t="shared" si="21"/>
        <v>77</v>
      </c>
      <c r="B771" s="878">
        <v>2245257</v>
      </c>
      <c r="C771" s="919" t="s">
        <v>644</v>
      </c>
      <c r="D771" s="975">
        <v>0.4</v>
      </c>
      <c r="E771" s="1139"/>
      <c r="F771" s="975">
        <v>0.4</v>
      </c>
      <c r="G771" s="996"/>
      <c r="H771" s="1056"/>
      <c r="I771" s="1056"/>
      <c r="J771" s="1056"/>
      <c r="K771" s="1056"/>
      <c r="L771" s="1056"/>
      <c r="M771" s="1056"/>
      <c r="N771" s="1056"/>
      <c r="O771" s="1056"/>
      <c r="P771" s="1056"/>
      <c r="Q771" s="1056"/>
      <c r="R771" s="1056"/>
      <c r="S771" s="296"/>
      <c r="T771" s="294"/>
      <c r="U771" s="294"/>
      <c r="V771" s="294"/>
      <c r="W771" s="84"/>
      <c r="X771" s="85"/>
      <c r="Y771" s="295"/>
      <c r="Z771" s="1056"/>
      <c r="AA771" s="1056"/>
      <c r="AB771" s="1056"/>
      <c r="AC771" s="1056"/>
      <c r="AD771" s="1056"/>
      <c r="AE771" s="1056"/>
      <c r="AF771" s="1056"/>
      <c r="AG771" s="1056"/>
      <c r="AH771" s="1056"/>
      <c r="AI771" s="1056"/>
      <c r="AJ771" s="1056"/>
      <c r="AK771" s="1056"/>
      <c r="AL771" s="1056"/>
      <c r="AM771" s="1056"/>
      <c r="AN771" s="1056"/>
      <c r="AO771" s="1056"/>
      <c r="AP771" s="1056"/>
      <c r="AQ771" s="1056"/>
      <c r="AR771" s="1056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</row>
    <row r="772" spans="1:86" s="53" customFormat="1" ht="35.65" hidden="1" customHeight="1" x14ac:dyDescent="0.2">
      <c r="A772" s="983">
        <f t="shared" si="21"/>
        <v>78</v>
      </c>
      <c r="B772" s="878">
        <v>2246922</v>
      </c>
      <c r="C772" s="919" t="s">
        <v>645</v>
      </c>
      <c r="D772" s="975">
        <v>0.5</v>
      </c>
      <c r="E772" s="1139"/>
      <c r="F772" s="975">
        <v>0.5</v>
      </c>
      <c r="G772" s="996"/>
      <c r="H772" s="1056"/>
      <c r="I772" s="1056"/>
      <c r="J772" s="1056"/>
      <c r="K772" s="1056"/>
      <c r="L772" s="1056"/>
      <c r="M772" s="1056"/>
      <c r="N772" s="1056"/>
      <c r="O772" s="1056"/>
      <c r="P772" s="1056"/>
      <c r="Q772" s="1056"/>
      <c r="R772" s="1056"/>
      <c r="S772" s="296"/>
      <c r="T772" s="294"/>
      <c r="U772" s="294"/>
      <c r="V772" s="294"/>
      <c r="W772" s="84"/>
      <c r="X772" s="85"/>
      <c r="Y772" s="295"/>
      <c r="Z772" s="1056"/>
      <c r="AA772" s="1056"/>
      <c r="AB772" s="1056"/>
      <c r="AC772" s="1056"/>
      <c r="AD772" s="1056"/>
      <c r="AE772" s="1056"/>
      <c r="AF772" s="1056"/>
      <c r="AG772" s="1056"/>
      <c r="AH772" s="1056"/>
      <c r="AI772" s="1056"/>
      <c r="AJ772" s="1056"/>
      <c r="AK772" s="1056"/>
      <c r="AL772" s="1056"/>
      <c r="AM772" s="1056"/>
      <c r="AN772" s="1056"/>
      <c r="AO772" s="1056"/>
      <c r="AP772" s="1056"/>
      <c r="AQ772" s="1056"/>
      <c r="AR772" s="1056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</row>
    <row r="773" spans="1:86" s="53" customFormat="1" ht="35.65" hidden="1" customHeight="1" x14ac:dyDescent="0.2">
      <c r="A773" s="983">
        <f t="shared" si="21"/>
        <v>79</v>
      </c>
      <c r="B773" s="878">
        <v>3405532</v>
      </c>
      <c r="C773" s="919" t="s">
        <v>646</v>
      </c>
      <c r="D773" s="975">
        <v>0.3</v>
      </c>
      <c r="E773" s="1139"/>
      <c r="F773" s="975">
        <v>0.3</v>
      </c>
      <c r="G773" s="996"/>
      <c r="H773" s="1056"/>
      <c r="I773" s="1056"/>
      <c r="J773" s="1056"/>
      <c r="K773" s="1056"/>
      <c r="L773" s="1056"/>
      <c r="M773" s="1056"/>
      <c r="N773" s="1056"/>
      <c r="O773" s="1056"/>
      <c r="P773" s="1056"/>
      <c r="Q773" s="1056"/>
      <c r="R773" s="1056"/>
      <c r="S773" s="296"/>
      <c r="T773" s="294"/>
      <c r="U773" s="294"/>
      <c r="V773" s="294"/>
      <c r="W773" s="84"/>
      <c r="X773" s="85"/>
      <c r="Y773" s="295"/>
      <c r="Z773" s="1056"/>
      <c r="AA773" s="1056"/>
      <c r="AB773" s="1056"/>
      <c r="AC773" s="1056"/>
      <c r="AD773" s="1056"/>
      <c r="AE773" s="1056"/>
      <c r="AF773" s="1056"/>
      <c r="AG773" s="1056"/>
      <c r="AH773" s="1056"/>
      <c r="AI773" s="1056"/>
      <c r="AJ773" s="1056"/>
      <c r="AK773" s="1056"/>
      <c r="AL773" s="1056"/>
      <c r="AM773" s="1056"/>
      <c r="AN773" s="1056"/>
      <c r="AO773" s="1056"/>
      <c r="AP773" s="1056"/>
      <c r="AQ773" s="1056"/>
      <c r="AR773" s="1056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</row>
    <row r="774" spans="1:86" s="53" customFormat="1" ht="35.65" hidden="1" customHeight="1" x14ac:dyDescent="0.2">
      <c r="A774" s="983">
        <f t="shared" si="21"/>
        <v>80</v>
      </c>
      <c r="B774" s="878">
        <v>2244096</v>
      </c>
      <c r="C774" s="919" t="s">
        <v>160</v>
      </c>
      <c r="D774" s="975">
        <v>0.6</v>
      </c>
      <c r="E774" s="1139"/>
      <c r="F774" s="975">
        <v>0.6</v>
      </c>
      <c r="G774" s="996"/>
      <c r="H774" s="1056"/>
      <c r="I774" s="1056"/>
      <c r="J774" s="1056"/>
      <c r="K774" s="1056"/>
      <c r="L774" s="1056"/>
      <c r="M774" s="1056"/>
      <c r="N774" s="1056"/>
      <c r="O774" s="1056"/>
      <c r="P774" s="1056"/>
      <c r="Q774" s="1056"/>
      <c r="R774" s="1056"/>
      <c r="S774" s="296"/>
      <c r="T774" s="294"/>
      <c r="U774" s="294"/>
      <c r="V774" s="294"/>
      <c r="W774" s="84"/>
      <c r="X774" s="85"/>
      <c r="Y774" s="295"/>
      <c r="Z774" s="1056"/>
      <c r="AA774" s="1056"/>
      <c r="AB774" s="1056"/>
      <c r="AC774" s="1056"/>
      <c r="AD774" s="1056"/>
      <c r="AE774" s="1056"/>
      <c r="AF774" s="1056"/>
      <c r="AG774" s="1056"/>
      <c r="AH774" s="1056"/>
      <c r="AI774" s="1056"/>
      <c r="AJ774" s="1056"/>
      <c r="AK774" s="1056"/>
      <c r="AL774" s="1056"/>
      <c r="AM774" s="1056"/>
      <c r="AN774" s="1056"/>
      <c r="AO774" s="1056"/>
      <c r="AP774" s="1056"/>
      <c r="AQ774" s="1056"/>
      <c r="AR774" s="1056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</row>
    <row r="775" spans="1:86" s="53" customFormat="1" ht="35.65" hidden="1" customHeight="1" x14ac:dyDescent="0.2">
      <c r="A775" s="983">
        <f t="shared" si="21"/>
        <v>81</v>
      </c>
      <c r="B775" s="878">
        <v>2238205</v>
      </c>
      <c r="C775" s="919" t="s">
        <v>647</v>
      </c>
      <c r="D775" s="975">
        <v>0.4</v>
      </c>
      <c r="E775" s="1139"/>
      <c r="F775" s="975">
        <v>0.4</v>
      </c>
      <c r="G775" s="996"/>
      <c r="H775" s="1056"/>
      <c r="I775" s="1056"/>
      <c r="J775" s="1056"/>
      <c r="K775" s="1056"/>
      <c r="L775" s="1056"/>
      <c r="M775" s="1056"/>
      <c r="N775" s="1056"/>
      <c r="O775" s="1056"/>
      <c r="P775" s="1056"/>
      <c r="Q775" s="1056"/>
      <c r="R775" s="1056"/>
      <c r="S775" s="296"/>
      <c r="T775" s="294"/>
      <c r="U775" s="294"/>
      <c r="V775" s="294"/>
      <c r="W775" s="84"/>
      <c r="X775" s="85"/>
      <c r="Y775" s="295"/>
      <c r="Z775" s="1056"/>
      <c r="AA775" s="1056"/>
      <c r="AB775" s="1056"/>
      <c r="AC775" s="1056"/>
      <c r="AD775" s="1056"/>
      <c r="AE775" s="1056"/>
      <c r="AF775" s="1056"/>
      <c r="AG775" s="1056"/>
      <c r="AH775" s="1056"/>
      <c r="AI775" s="1056"/>
      <c r="AJ775" s="1056"/>
      <c r="AK775" s="1056"/>
      <c r="AL775" s="1056"/>
      <c r="AM775" s="1056"/>
      <c r="AN775" s="1056"/>
      <c r="AO775" s="1056"/>
      <c r="AP775" s="1056"/>
      <c r="AQ775" s="1056"/>
      <c r="AR775" s="1056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</row>
    <row r="776" spans="1:86" s="53" customFormat="1" ht="35.65" hidden="1" customHeight="1" x14ac:dyDescent="0.2">
      <c r="A776" s="983">
        <f t="shared" si="21"/>
        <v>82</v>
      </c>
      <c r="B776" s="878">
        <v>2244625</v>
      </c>
      <c r="C776" s="919" t="s">
        <v>979</v>
      </c>
      <c r="D776" s="975">
        <v>1</v>
      </c>
      <c r="E776" s="1139"/>
      <c r="F776" s="975">
        <v>1</v>
      </c>
      <c r="G776" s="996"/>
      <c r="H776" s="1056"/>
      <c r="I776" s="1056"/>
      <c r="J776" s="1056"/>
      <c r="K776" s="1056"/>
      <c r="L776" s="1056"/>
      <c r="M776" s="1056"/>
      <c r="N776" s="1056"/>
      <c r="O776" s="1056"/>
      <c r="P776" s="1056"/>
      <c r="Q776" s="1056"/>
      <c r="R776" s="1056"/>
      <c r="S776" s="296"/>
      <c r="T776" s="294"/>
      <c r="U776" s="294"/>
      <c r="V776" s="294"/>
      <c r="W776" s="84"/>
      <c r="X776" s="85"/>
      <c r="Y776" s="295"/>
      <c r="Z776" s="1056"/>
      <c r="AA776" s="1056"/>
      <c r="AB776" s="1056"/>
      <c r="AC776" s="1056"/>
      <c r="AD776" s="1056"/>
      <c r="AE776" s="1056"/>
      <c r="AF776" s="1056"/>
      <c r="AG776" s="1056"/>
      <c r="AH776" s="1056"/>
      <c r="AI776" s="1056"/>
      <c r="AJ776" s="1056"/>
      <c r="AK776" s="1056"/>
      <c r="AL776" s="1056"/>
      <c r="AM776" s="1056"/>
      <c r="AN776" s="1056"/>
      <c r="AO776" s="1056"/>
      <c r="AP776" s="1056"/>
      <c r="AQ776" s="1056"/>
      <c r="AR776" s="1056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</row>
    <row r="777" spans="1:86" s="53" customFormat="1" ht="35.65" hidden="1" customHeight="1" x14ac:dyDescent="0.2">
      <c r="A777" s="983">
        <f t="shared" si="21"/>
        <v>83</v>
      </c>
      <c r="B777" s="878">
        <v>2240596</v>
      </c>
      <c r="C777" s="919" t="s">
        <v>649</v>
      </c>
      <c r="D777" s="975">
        <v>1.1000000000000001</v>
      </c>
      <c r="E777" s="1139"/>
      <c r="F777" s="975">
        <v>1</v>
      </c>
      <c r="G777" s="996"/>
      <c r="H777" s="1056"/>
      <c r="I777" s="1056"/>
      <c r="J777" s="1056"/>
      <c r="K777" s="1056"/>
      <c r="L777" s="1056"/>
      <c r="M777" s="1056"/>
      <c r="N777" s="1056"/>
      <c r="O777" s="1056"/>
      <c r="P777" s="1056"/>
      <c r="Q777" s="1056"/>
      <c r="R777" s="1056"/>
      <c r="S777" s="296"/>
      <c r="T777" s="294"/>
      <c r="U777" s="294"/>
      <c r="V777" s="294"/>
      <c r="W777" s="84"/>
      <c r="X777" s="85"/>
      <c r="Y777" s="295"/>
      <c r="Z777" s="1056"/>
      <c r="AA777" s="1056"/>
      <c r="AB777" s="1056"/>
      <c r="AC777" s="1056"/>
      <c r="AD777" s="1056"/>
      <c r="AE777" s="1056"/>
      <c r="AF777" s="1056"/>
      <c r="AG777" s="1056"/>
      <c r="AH777" s="1056"/>
      <c r="AI777" s="1056"/>
      <c r="AJ777" s="1056"/>
      <c r="AK777" s="1056"/>
      <c r="AL777" s="1056"/>
      <c r="AM777" s="1056"/>
      <c r="AN777" s="1056"/>
      <c r="AO777" s="1056"/>
      <c r="AP777" s="1056"/>
      <c r="AQ777" s="1056"/>
      <c r="AR777" s="1056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</row>
    <row r="778" spans="1:86" s="53" customFormat="1" ht="35.65" hidden="1" customHeight="1" x14ac:dyDescent="0.2">
      <c r="A778" s="983">
        <f t="shared" si="21"/>
        <v>84</v>
      </c>
      <c r="B778" s="878">
        <v>2239500</v>
      </c>
      <c r="C778" s="919" t="s">
        <v>650</v>
      </c>
      <c r="D778" s="975">
        <v>0.6</v>
      </c>
      <c r="E778" s="1139"/>
      <c r="F778" s="975">
        <v>0.6</v>
      </c>
      <c r="G778" s="996"/>
      <c r="H778" s="1056"/>
      <c r="I778" s="1056"/>
      <c r="J778" s="1056"/>
      <c r="K778" s="1056"/>
      <c r="L778" s="1056"/>
      <c r="M778" s="1056"/>
      <c r="N778" s="1056"/>
      <c r="O778" s="1056"/>
      <c r="P778" s="1056"/>
      <c r="Q778" s="1056"/>
      <c r="R778" s="1056"/>
      <c r="S778" s="296"/>
      <c r="T778" s="294"/>
      <c r="U778" s="294"/>
      <c r="V778" s="294"/>
      <c r="W778" s="84"/>
      <c r="X778" s="85"/>
      <c r="Y778" s="295"/>
      <c r="Z778" s="1056"/>
      <c r="AA778" s="1056"/>
      <c r="AB778" s="1056"/>
      <c r="AC778" s="1056"/>
      <c r="AD778" s="1056"/>
      <c r="AE778" s="1056"/>
      <c r="AF778" s="1056"/>
      <c r="AG778" s="1056"/>
      <c r="AH778" s="1056"/>
      <c r="AI778" s="1056"/>
      <c r="AJ778" s="1056"/>
      <c r="AK778" s="1056"/>
      <c r="AL778" s="1056"/>
      <c r="AM778" s="1056"/>
      <c r="AN778" s="1056"/>
      <c r="AO778" s="1056"/>
      <c r="AP778" s="1056"/>
      <c r="AQ778" s="1056"/>
      <c r="AR778" s="1056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</row>
    <row r="779" spans="1:86" s="53" customFormat="1" ht="35.65" hidden="1" customHeight="1" x14ac:dyDescent="0.2">
      <c r="A779" s="983">
        <f t="shared" si="21"/>
        <v>85</v>
      </c>
      <c r="B779" s="878">
        <v>2245307</v>
      </c>
      <c r="C779" s="919" t="s">
        <v>651</v>
      </c>
      <c r="D779" s="975">
        <v>0.6</v>
      </c>
      <c r="E779" s="1139"/>
      <c r="F779" s="975">
        <v>0.6</v>
      </c>
      <c r="G779" s="996"/>
      <c r="H779" s="1056"/>
      <c r="I779" s="1056"/>
      <c r="J779" s="1056"/>
      <c r="K779" s="1056"/>
      <c r="L779" s="1056"/>
      <c r="M779" s="1056"/>
      <c r="N779" s="1056"/>
      <c r="O779" s="1056"/>
      <c r="P779" s="1056"/>
      <c r="Q779" s="1056"/>
      <c r="R779" s="1056"/>
      <c r="S779" s="296"/>
      <c r="T779" s="294"/>
      <c r="U779" s="294"/>
      <c r="V779" s="294"/>
      <c r="W779" s="84"/>
      <c r="X779" s="85"/>
      <c r="Y779" s="295"/>
      <c r="Z779" s="1056"/>
      <c r="AA779" s="1056"/>
      <c r="AB779" s="1056"/>
      <c r="AC779" s="1056"/>
      <c r="AD779" s="1056"/>
      <c r="AE779" s="1056"/>
      <c r="AF779" s="1056"/>
      <c r="AG779" s="1056"/>
      <c r="AH779" s="1056"/>
      <c r="AI779" s="1056"/>
      <c r="AJ779" s="1056"/>
      <c r="AK779" s="1056"/>
      <c r="AL779" s="1056"/>
      <c r="AM779" s="1056"/>
      <c r="AN779" s="1056"/>
      <c r="AO779" s="1056"/>
      <c r="AP779" s="1056"/>
      <c r="AQ779" s="1056"/>
      <c r="AR779" s="1056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</row>
    <row r="780" spans="1:86" s="53" customFormat="1" ht="35.65" hidden="1" customHeight="1" x14ac:dyDescent="0.2">
      <c r="A780" s="983">
        <f t="shared" si="21"/>
        <v>86</v>
      </c>
      <c r="B780" s="878">
        <v>2244746</v>
      </c>
      <c r="C780" s="919" t="s">
        <v>980</v>
      </c>
      <c r="D780" s="975">
        <v>0.5</v>
      </c>
      <c r="E780" s="1139"/>
      <c r="F780" s="975">
        <v>0.5</v>
      </c>
      <c r="G780" s="996"/>
      <c r="H780" s="1056"/>
      <c r="I780" s="1056"/>
      <c r="J780" s="1056"/>
      <c r="K780" s="1056"/>
      <c r="L780" s="1056"/>
      <c r="M780" s="1056"/>
      <c r="N780" s="1056"/>
      <c r="O780" s="1056"/>
      <c r="P780" s="1056"/>
      <c r="Q780" s="1056"/>
      <c r="R780" s="1056"/>
      <c r="S780" s="296"/>
      <c r="T780" s="294"/>
      <c r="U780" s="294"/>
      <c r="V780" s="294"/>
      <c r="W780" s="84"/>
      <c r="X780" s="85"/>
      <c r="Y780" s="295"/>
      <c r="Z780" s="1056"/>
      <c r="AA780" s="1056"/>
      <c r="AB780" s="1056"/>
      <c r="AC780" s="1056"/>
      <c r="AD780" s="1056"/>
      <c r="AE780" s="1056"/>
      <c r="AF780" s="1056"/>
      <c r="AG780" s="1056"/>
      <c r="AH780" s="1056"/>
      <c r="AI780" s="1056"/>
      <c r="AJ780" s="1056"/>
      <c r="AK780" s="1056"/>
      <c r="AL780" s="1056"/>
      <c r="AM780" s="1056"/>
      <c r="AN780" s="1056"/>
      <c r="AO780" s="1056"/>
      <c r="AP780" s="1056"/>
      <c r="AQ780" s="1056"/>
      <c r="AR780" s="1056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</row>
    <row r="781" spans="1:86" s="53" customFormat="1" ht="35.65" hidden="1" customHeight="1" x14ac:dyDescent="0.2">
      <c r="A781" s="983">
        <f t="shared" si="21"/>
        <v>87</v>
      </c>
      <c r="B781" s="878">
        <v>2241934</v>
      </c>
      <c r="C781" s="919" t="s">
        <v>981</v>
      </c>
      <c r="D781" s="975">
        <v>0.2</v>
      </c>
      <c r="E781" s="1139"/>
      <c r="F781" s="975">
        <v>0.2</v>
      </c>
      <c r="G781" s="996"/>
      <c r="H781" s="1056"/>
      <c r="I781" s="1056"/>
      <c r="J781" s="1056"/>
      <c r="K781" s="1056"/>
      <c r="L781" s="1056"/>
      <c r="M781" s="1056"/>
      <c r="N781" s="1056"/>
      <c r="O781" s="1056"/>
      <c r="P781" s="1056"/>
      <c r="Q781" s="1056"/>
      <c r="R781" s="1056"/>
      <c r="S781" s="296"/>
      <c r="T781" s="294"/>
      <c r="U781" s="294"/>
      <c r="V781" s="294"/>
      <c r="W781" s="84"/>
      <c r="X781" s="85"/>
      <c r="Y781" s="295"/>
      <c r="Z781" s="1056"/>
      <c r="AA781" s="1056"/>
      <c r="AB781" s="1056"/>
      <c r="AC781" s="1056"/>
      <c r="AD781" s="1056"/>
      <c r="AE781" s="1056"/>
      <c r="AF781" s="1056"/>
      <c r="AG781" s="1056"/>
      <c r="AH781" s="1056"/>
      <c r="AI781" s="1056"/>
      <c r="AJ781" s="1056"/>
      <c r="AK781" s="1056"/>
      <c r="AL781" s="1056"/>
      <c r="AM781" s="1056"/>
      <c r="AN781" s="1056"/>
      <c r="AO781" s="1056"/>
      <c r="AP781" s="1056"/>
      <c r="AQ781" s="1056"/>
      <c r="AR781" s="1056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</row>
    <row r="782" spans="1:86" s="53" customFormat="1" ht="35.65" hidden="1" customHeight="1" x14ac:dyDescent="0.2">
      <c r="A782" s="983">
        <f t="shared" si="21"/>
        <v>88</v>
      </c>
      <c r="B782" s="878">
        <v>2241644</v>
      </c>
      <c r="C782" s="919" t="s">
        <v>982</v>
      </c>
      <c r="D782" s="975">
        <v>0.2</v>
      </c>
      <c r="E782" s="1139"/>
      <c r="F782" s="975">
        <v>0.2</v>
      </c>
      <c r="G782" s="996"/>
      <c r="H782" s="1056"/>
      <c r="I782" s="1056"/>
      <c r="J782" s="1056"/>
      <c r="K782" s="1056"/>
      <c r="L782" s="1056"/>
      <c r="M782" s="1056"/>
      <c r="N782" s="1056"/>
      <c r="O782" s="1056"/>
      <c r="P782" s="1056"/>
      <c r="Q782" s="1056"/>
      <c r="R782" s="1056"/>
      <c r="S782" s="296"/>
      <c r="T782" s="294"/>
      <c r="U782" s="294"/>
      <c r="V782" s="294"/>
      <c r="W782" s="84"/>
      <c r="X782" s="85"/>
      <c r="Y782" s="295"/>
      <c r="Z782" s="1056"/>
      <c r="AA782" s="1056"/>
      <c r="AB782" s="1056"/>
      <c r="AC782" s="1056"/>
      <c r="AD782" s="1056"/>
      <c r="AE782" s="1056"/>
      <c r="AF782" s="1056"/>
      <c r="AG782" s="1056"/>
      <c r="AH782" s="1056"/>
      <c r="AI782" s="1056"/>
      <c r="AJ782" s="1056"/>
      <c r="AK782" s="1056"/>
      <c r="AL782" s="1056"/>
      <c r="AM782" s="1056"/>
      <c r="AN782" s="1056"/>
      <c r="AO782" s="1056"/>
      <c r="AP782" s="1056"/>
      <c r="AQ782" s="1056"/>
      <c r="AR782" s="1056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</row>
    <row r="783" spans="1:86" s="53" customFormat="1" ht="35.65" hidden="1" customHeight="1" x14ac:dyDescent="0.2">
      <c r="A783" s="983">
        <f t="shared" si="21"/>
        <v>89</v>
      </c>
      <c r="B783" s="878">
        <v>2242379</v>
      </c>
      <c r="C783" s="919" t="s">
        <v>983</v>
      </c>
      <c r="D783" s="975">
        <v>0.4</v>
      </c>
      <c r="E783" s="1139"/>
      <c r="F783" s="975">
        <v>0.4</v>
      </c>
      <c r="G783" s="996"/>
      <c r="H783" s="1056"/>
      <c r="I783" s="1056"/>
      <c r="J783" s="1056"/>
      <c r="K783" s="1056"/>
      <c r="L783" s="1056"/>
      <c r="M783" s="1056"/>
      <c r="N783" s="1056"/>
      <c r="O783" s="1056"/>
      <c r="P783" s="1056"/>
      <c r="Q783" s="1056"/>
      <c r="R783" s="1056"/>
      <c r="S783" s="296"/>
      <c r="T783" s="294"/>
      <c r="U783" s="294"/>
      <c r="V783" s="294"/>
      <c r="W783" s="84"/>
      <c r="X783" s="85"/>
      <c r="Y783" s="295"/>
      <c r="Z783" s="1056"/>
      <c r="AA783" s="1056"/>
      <c r="AB783" s="1056"/>
      <c r="AC783" s="1056"/>
      <c r="AD783" s="1056"/>
      <c r="AE783" s="1056"/>
      <c r="AF783" s="1056"/>
      <c r="AG783" s="1056"/>
      <c r="AH783" s="1056"/>
      <c r="AI783" s="1056"/>
      <c r="AJ783" s="1056"/>
      <c r="AK783" s="1056"/>
      <c r="AL783" s="1056"/>
      <c r="AM783" s="1056"/>
      <c r="AN783" s="1056"/>
      <c r="AO783" s="1056"/>
      <c r="AP783" s="1056"/>
      <c r="AQ783" s="1056"/>
      <c r="AR783" s="1056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</row>
    <row r="784" spans="1:86" s="53" customFormat="1" ht="35.65" hidden="1" customHeight="1" x14ac:dyDescent="0.2">
      <c r="A784" s="983">
        <f t="shared" si="21"/>
        <v>90</v>
      </c>
      <c r="B784" s="878">
        <v>2243911</v>
      </c>
      <c r="C784" s="919" t="s">
        <v>984</v>
      </c>
      <c r="D784" s="975">
        <v>0.4</v>
      </c>
      <c r="E784" s="1139"/>
      <c r="F784" s="975">
        <v>0.4</v>
      </c>
      <c r="G784" s="996"/>
      <c r="H784" s="1056"/>
      <c r="I784" s="1056"/>
      <c r="J784" s="1056"/>
      <c r="K784" s="1056"/>
      <c r="L784" s="1056"/>
      <c r="M784" s="1056"/>
      <c r="N784" s="1056"/>
      <c r="O784" s="1056"/>
      <c r="P784" s="1056"/>
      <c r="Q784" s="1056"/>
      <c r="R784" s="1056"/>
      <c r="S784" s="296"/>
      <c r="T784" s="294"/>
      <c r="U784" s="294"/>
      <c r="V784" s="294"/>
      <c r="W784" s="84"/>
      <c r="X784" s="85"/>
      <c r="Y784" s="295"/>
      <c r="Z784" s="1056"/>
      <c r="AA784" s="1056"/>
      <c r="AB784" s="1056"/>
      <c r="AC784" s="1056"/>
      <c r="AD784" s="1056"/>
      <c r="AE784" s="1056"/>
      <c r="AF784" s="1056"/>
      <c r="AG784" s="1056"/>
      <c r="AH784" s="1056"/>
      <c r="AI784" s="1056"/>
      <c r="AJ784" s="1056"/>
      <c r="AK784" s="1056"/>
      <c r="AL784" s="1056"/>
      <c r="AM784" s="1056"/>
      <c r="AN784" s="1056"/>
      <c r="AO784" s="1056"/>
      <c r="AP784" s="1056"/>
      <c r="AQ784" s="1056"/>
      <c r="AR784" s="1056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</row>
    <row r="785" spans="1:86" s="53" customFormat="1" ht="35.65" hidden="1" customHeight="1" x14ac:dyDescent="0.2">
      <c r="A785" s="983">
        <f t="shared" si="21"/>
        <v>91</v>
      </c>
      <c r="B785" s="878">
        <v>2245757</v>
      </c>
      <c r="C785" s="919" t="s">
        <v>985</v>
      </c>
      <c r="D785" s="975">
        <v>0.4</v>
      </c>
      <c r="E785" s="1139"/>
      <c r="F785" s="975">
        <v>0.4</v>
      </c>
      <c r="G785" s="996"/>
      <c r="H785" s="1056"/>
      <c r="I785" s="1056"/>
      <c r="J785" s="1056"/>
      <c r="K785" s="1056"/>
      <c r="L785" s="1056"/>
      <c r="M785" s="1056"/>
      <c r="N785" s="1056"/>
      <c r="O785" s="1056"/>
      <c r="P785" s="1056"/>
      <c r="Q785" s="1056"/>
      <c r="R785" s="1056"/>
      <c r="S785" s="296"/>
      <c r="T785" s="294"/>
      <c r="U785" s="294"/>
      <c r="V785" s="294"/>
      <c r="W785" s="84"/>
      <c r="X785" s="85"/>
      <c r="Y785" s="295"/>
      <c r="Z785" s="1056"/>
      <c r="AA785" s="1056"/>
      <c r="AB785" s="1056"/>
      <c r="AC785" s="1056"/>
      <c r="AD785" s="1056"/>
      <c r="AE785" s="1056"/>
      <c r="AF785" s="1056"/>
      <c r="AG785" s="1056"/>
      <c r="AH785" s="1056"/>
      <c r="AI785" s="1056"/>
      <c r="AJ785" s="1056"/>
      <c r="AK785" s="1056"/>
      <c r="AL785" s="1056"/>
      <c r="AM785" s="1056"/>
      <c r="AN785" s="1056"/>
      <c r="AO785" s="1056"/>
      <c r="AP785" s="1056"/>
      <c r="AQ785" s="1056"/>
      <c r="AR785" s="1056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</row>
    <row r="786" spans="1:86" s="53" customFormat="1" ht="35.65" hidden="1" customHeight="1" x14ac:dyDescent="0.2">
      <c r="A786" s="983">
        <f t="shared" si="21"/>
        <v>92</v>
      </c>
      <c r="B786" s="878">
        <v>2245888</v>
      </c>
      <c r="C786" s="919" t="s">
        <v>986</v>
      </c>
      <c r="D786" s="975">
        <v>0.3</v>
      </c>
      <c r="E786" s="1139"/>
      <c r="F786" s="975">
        <v>0.3</v>
      </c>
      <c r="G786" s="996"/>
      <c r="H786" s="1056"/>
      <c r="I786" s="1056"/>
      <c r="J786" s="1056"/>
      <c r="K786" s="1056"/>
      <c r="L786" s="1056"/>
      <c r="M786" s="1056"/>
      <c r="N786" s="1056"/>
      <c r="O786" s="1056"/>
      <c r="P786" s="1056"/>
      <c r="Q786" s="1056"/>
      <c r="R786" s="1056"/>
      <c r="S786" s="296"/>
      <c r="T786" s="294"/>
      <c r="U786" s="294"/>
      <c r="V786" s="294"/>
      <c r="W786" s="84"/>
      <c r="X786" s="85"/>
      <c r="Y786" s="295"/>
      <c r="Z786" s="1056"/>
      <c r="AA786" s="1056"/>
      <c r="AB786" s="1056"/>
      <c r="AC786" s="1056"/>
      <c r="AD786" s="1056"/>
      <c r="AE786" s="1056"/>
      <c r="AF786" s="1056"/>
      <c r="AG786" s="1056"/>
      <c r="AH786" s="1056"/>
      <c r="AI786" s="1056"/>
      <c r="AJ786" s="1056"/>
      <c r="AK786" s="1056"/>
      <c r="AL786" s="1056"/>
      <c r="AM786" s="1056"/>
      <c r="AN786" s="1056"/>
      <c r="AO786" s="1056"/>
      <c r="AP786" s="1056"/>
      <c r="AQ786" s="1056"/>
      <c r="AR786" s="1056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</row>
    <row r="787" spans="1:86" s="53" customFormat="1" ht="35.65" hidden="1" customHeight="1" x14ac:dyDescent="0.2">
      <c r="A787" s="983">
        <f t="shared" si="21"/>
        <v>93</v>
      </c>
      <c r="B787" s="878">
        <v>2243886</v>
      </c>
      <c r="C787" s="919" t="s">
        <v>987</v>
      </c>
      <c r="D787" s="975">
        <v>1.43</v>
      </c>
      <c r="E787" s="1139"/>
      <c r="F787" s="975">
        <v>1.43</v>
      </c>
      <c r="G787" s="996"/>
      <c r="H787" s="1056"/>
      <c r="I787" s="1056"/>
      <c r="J787" s="1056"/>
      <c r="K787" s="1056"/>
      <c r="L787" s="1056"/>
      <c r="M787" s="1056"/>
      <c r="N787" s="1056"/>
      <c r="O787" s="1056"/>
      <c r="P787" s="1056"/>
      <c r="Q787" s="1056"/>
      <c r="R787" s="1056"/>
      <c r="S787" s="296"/>
      <c r="T787" s="294"/>
      <c r="U787" s="294"/>
      <c r="V787" s="294"/>
      <c r="W787" s="84"/>
      <c r="X787" s="85"/>
      <c r="Y787" s="295"/>
      <c r="Z787" s="1056"/>
      <c r="AA787" s="1056"/>
      <c r="AB787" s="1056"/>
      <c r="AC787" s="1056"/>
      <c r="AD787" s="1056"/>
      <c r="AE787" s="1056"/>
      <c r="AF787" s="1056"/>
      <c r="AG787" s="1056"/>
      <c r="AH787" s="1056"/>
      <c r="AI787" s="1056"/>
      <c r="AJ787" s="1056"/>
      <c r="AK787" s="1056"/>
      <c r="AL787" s="1056"/>
      <c r="AM787" s="1056"/>
      <c r="AN787" s="1056"/>
      <c r="AO787" s="1056"/>
      <c r="AP787" s="1056"/>
      <c r="AQ787" s="1056"/>
      <c r="AR787" s="1056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</row>
    <row r="788" spans="1:86" s="53" customFormat="1" ht="21.75" hidden="1" customHeight="1" x14ac:dyDescent="0.2">
      <c r="A788" s="983"/>
      <c r="B788" s="1056"/>
      <c r="C788" s="994"/>
      <c r="D788" s="996"/>
      <c r="E788" s="987"/>
      <c r="F788" s="996"/>
      <c r="G788" s="996"/>
      <c r="H788" s="1056"/>
      <c r="I788" s="1056"/>
      <c r="J788" s="1056"/>
      <c r="K788" s="1056"/>
      <c r="L788" s="1056"/>
      <c r="M788" s="1056"/>
      <c r="N788" s="1056"/>
      <c r="O788" s="1056"/>
      <c r="P788" s="1056"/>
      <c r="Q788" s="1056"/>
      <c r="R788" s="1056"/>
      <c r="S788" s="296"/>
      <c r="T788" s="294"/>
      <c r="U788" s="294"/>
      <c r="V788" s="294"/>
      <c r="W788" s="84"/>
      <c r="X788" s="85"/>
      <c r="Y788" s="295"/>
      <c r="Z788" s="1056"/>
      <c r="AA788" s="1056"/>
      <c r="AB788" s="1056"/>
      <c r="AC788" s="1056"/>
      <c r="AD788" s="1056"/>
      <c r="AE788" s="1056"/>
      <c r="AF788" s="1056"/>
      <c r="AG788" s="1056"/>
      <c r="AH788" s="1056"/>
      <c r="AI788" s="1056"/>
      <c r="AJ788" s="1056"/>
      <c r="AK788" s="1056"/>
      <c r="AL788" s="1056"/>
      <c r="AM788" s="1056"/>
      <c r="AN788" s="1056"/>
      <c r="AO788" s="1056"/>
      <c r="AP788" s="1056"/>
      <c r="AQ788" s="1056"/>
      <c r="AR788" s="1056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</row>
    <row r="789" spans="1:86" s="53" customFormat="1" ht="21.75" hidden="1" customHeight="1" x14ac:dyDescent="0.2">
      <c r="A789" s="1026"/>
      <c r="B789" s="85"/>
      <c r="C789" s="1140"/>
      <c r="D789" s="996"/>
      <c r="E789" s="996"/>
      <c r="F789" s="996"/>
      <c r="G789" s="996"/>
      <c r="H789" s="1056"/>
      <c r="I789" s="1056"/>
      <c r="J789" s="1056"/>
      <c r="K789" s="1056"/>
      <c r="L789" s="1056"/>
      <c r="M789" s="1056"/>
      <c r="N789" s="1056"/>
      <c r="O789" s="1056"/>
      <c r="P789" s="1056"/>
      <c r="Q789" s="1056"/>
      <c r="R789" s="1056"/>
      <c r="S789" s="296"/>
      <c r="T789" s="294"/>
      <c r="U789" s="294"/>
      <c r="V789" s="294"/>
      <c r="W789" s="84"/>
      <c r="X789" s="85"/>
      <c r="Y789" s="295"/>
      <c r="Z789" s="1056"/>
      <c r="AA789" s="1056"/>
      <c r="AB789" s="1056"/>
      <c r="AC789" s="1056"/>
      <c r="AD789" s="1056"/>
      <c r="AE789" s="1056"/>
      <c r="AF789" s="1056"/>
      <c r="AG789" s="1056"/>
      <c r="AH789" s="1056"/>
      <c r="AI789" s="1056"/>
      <c r="AJ789" s="1056"/>
      <c r="AK789" s="1056"/>
      <c r="AL789" s="1056"/>
      <c r="AM789" s="1056"/>
      <c r="AN789" s="1056"/>
      <c r="AO789" s="1056"/>
      <c r="AP789" s="1056"/>
      <c r="AQ789" s="1056"/>
      <c r="AR789" s="1056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</row>
    <row r="790" spans="1:86" s="53" customFormat="1" ht="89.25" customHeight="1" x14ac:dyDescent="0.2">
      <c r="A790" s="982">
        <v>25</v>
      </c>
      <c r="B790" s="1045">
        <v>2238324</v>
      </c>
      <c r="C790" s="1016" t="s">
        <v>855</v>
      </c>
      <c r="D790" s="906">
        <v>3.13</v>
      </c>
      <c r="E790" s="897">
        <v>44032</v>
      </c>
      <c r="F790" s="906">
        <v>3.13</v>
      </c>
      <c r="G790" s="897">
        <v>44032</v>
      </c>
      <c r="H790" s="1056"/>
      <c r="I790" s="1056"/>
      <c r="J790" s="1056"/>
      <c r="K790" s="1056"/>
      <c r="L790" s="1056"/>
      <c r="M790" s="1056"/>
      <c r="N790" s="1056"/>
      <c r="O790" s="1056"/>
      <c r="P790" s="1056"/>
      <c r="Q790" s="1056"/>
      <c r="R790" s="1056"/>
      <c r="S790" s="296"/>
      <c r="T790" s="874" t="s">
        <v>1518</v>
      </c>
      <c r="U790" s="874" t="s">
        <v>1518</v>
      </c>
      <c r="V790" s="34" t="s">
        <v>1046</v>
      </c>
      <c r="W790" s="878">
        <v>1</v>
      </c>
      <c r="X790" s="878" t="s">
        <v>8</v>
      </c>
      <c r="Y790" s="522">
        <v>586.46803</v>
      </c>
      <c r="Z790" s="85"/>
      <c r="AA790" s="85"/>
      <c r="AB790" s="85"/>
      <c r="AC790" s="85"/>
      <c r="AD790" s="85"/>
      <c r="AE790" s="85"/>
      <c r="AF790" s="1056"/>
      <c r="AG790" s="1056"/>
      <c r="AH790" s="1056"/>
      <c r="AI790" s="1056"/>
      <c r="AJ790" s="1056"/>
      <c r="AK790" s="1056"/>
      <c r="AL790" s="1056"/>
      <c r="AM790" s="1056"/>
      <c r="AN790" s="1056"/>
      <c r="AO790" s="1056"/>
      <c r="AP790" s="1056"/>
      <c r="AQ790" s="1056"/>
      <c r="AR790" s="1056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</row>
    <row r="791" spans="1:86" s="53" customFormat="1" ht="89.25" customHeight="1" x14ac:dyDescent="0.2">
      <c r="A791" s="1393">
        <v>26</v>
      </c>
      <c r="B791" s="1391" t="s">
        <v>391</v>
      </c>
      <c r="C791" s="1389" t="s">
        <v>444</v>
      </c>
      <c r="D791" s="1374">
        <v>1.167</v>
      </c>
      <c r="E791" s="1558">
        <v>17735</v>
      </c>
      <c r="F791" s="1374">
        <v>1.0940000000000001</v>
      </c>
      <c r="G791" s="1380">
        <f>E791/D791*F791</f>
        <v>16625.612682090832</v>
      </c>
      <c r="H791" s="1056"/>
      <c r="I791" s="1056"/>
      <c r="J791" s="1056"/>
      <c r="K791" s="1056"/>
      <c r="L791" s="1056"/>
      <c r="M791" s="1056"/>
      <c r="N791" s="1056"/>
      <c r="O791" s="1056"/>
      <c r="P791" s="1056"/>
      <c r="Q791" s="1056"/>
      <c r="R791" s="1056"/>
      <c r="S791" s="296"/>
      <c r="T791" s="874" t="s">
        <v>1520</v>
      </c>
      <c r="U791" s="874" t="s">
        <v>1520</v>
      </c>
      <c r="V791" s="34" t="s">
        <v>1046</v>
      </c>
      <c r="W791" s="878">
        <v>1</v>
      </c>
      <c r="X791" s="878" t="s">
        <v>8</v>
      </c>
      <c r="Y791" s="522">
        <v>586.46803</v>
      </c>
      <c r="Z791" s="85"/>
      <c r="AA791" s="85"/>
      <c r="AB791" s="85"/>
      <c r="AC791" s="85"/>
      <c r="AD791" s="85"/>
      <c r="AE791" s="85"/>
      <c r="AF791" s="1056"/>
      <c r="AG791" s="1056"/>
      <c r="AH791" s="1056"/>
      <c r="AI791" s="1056"/>
      <c r="AJ791" s="1056"/>
      <c r="AK791" s="1056"/>
      <c r="AL791" s="1056"/>
      <c r="AM791" s="1056"/>
      <c r="AN791" s="1056"/>
      <c r="AO791" s="1056"/>
      <c r="AP791" s="1056"/>
      <c r="AQ791" s="1056"/>
      <c r="AR791" s="1056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</row>
    <row r="792" spans="1:86" s="53" customFormat="1" ht="89.25" customHeight="1" x14ac:dyDescent="0.2">
      <c r="A792" s="1394"/>
      <c r="B792" s="1392"/>
      <c r="C792" s="1390"/>
      <c r="D792" s="1375"/>
      <c r="E792" s="1271"/>
      <c r="F792" s="1375"/>
      <c r="G792" s="1335"/>
      <c r="H792" s="1056"/>
      <c r="I792" s="1056"/>
      <c r="J792" s="1056"/>
      <c r="K792" s="1056"/>
      <c r="L792" s="1056"/>
      <c r="M792" s="1056"/>
      <c r="N792" s="1056"/>
      <c r="O792" s="1056"/>
      <c r="P792" s="1056"/>
      <c r="Q792" s="1056"/>
      <c r="R792" s="1056"/>
      <c r="S792" s="296"/>
      <c r="T792" s="874" t="s">
        <v>1459</v>
      </c>
      <c r="U792" s="874" t="s">
        <v>1459</v>
      </c>
      <c r="V792" s="34" t="s">
        <v>1046</v>
      </c>
      <c r="W792" s="878">
        <v>1</v>
      </c>
      <c r="X792" s="878" t="s">
        <v>8</v>
      </c>
      <c r="Y792" s="522">
        <v>586.46803</v>
      </c>
      <c r="Z792" s="85"/>
      <c r="AA792" s="85"/>
      <c r="AB792" s="85"/>
      <c r="AC792" s="85"/>
      <c r="AD792" s="85"/>
      <c r="AE792" s="85"/>
      <c r="AF792" s="1056"/>
      <c r="AG792" s="1056"/>
      <c r="AH792" s="1056"/>
      <c r="AI792" s="1056"/>
      <c r="AJ792" s="1056"/>
      <c r="AK792" s="1056"/>
      <c r="AL792" s="1056"/>
      <c r="AM792" s="1056"/>
      <c r="AN792" s="1056"/>
      <c r="AO792" s="1056"/>
      <c r="AP792" s="1056"/>
      <c r="AQ792" s="1056"/>
      <c r="AR792" s="1056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</row>
    <row r="793" spans="1:86" s="53" customFormat="1" ht="89.25" customHeight="1" x14ac:dyDescent="0.2">
      <c r="A793" s="982">
        <v>27</v>
      </c>
      <c r="B793" s="878" t="s">
        <v>868</v>
      </c>
      <c r="C793" s="15" t="s">
        <v>869</v>
      </c>
      <c r="D793" s="906">
        <v>0.56499999999999995</v>
      </c>
      <c r="E793" s="897">
        <v>5320</v>
      </c>
      <c r="F793" s="906">
        <v>0.56499999999999995</v>
      </c>
      <c r="G793" s="897">
        <v>5320</v>
      </c>
      <c r="H793" s="1056"/>
      <c r="I793" s="1056"/>
      <c r="J793" s="1056"/>
      <c r="K793" s="1056"/>
      <c r="L793" s="1056"/>
      <c r="M793" s="1056"/>
      <c r="N793" s="1056"/>
      <c r="O793" s="1056"/>
      <c r="P793" s="1056"/>
      <c r="Q793" s="1056"/>
      <c r="R793" s="1056"/>
      <c r="S793" s="296"/>
      <c r="T793" s="874" t="s">
        <v>1521</v>
      </c>
      <c r="U793" s="874" t="s">
        <v>1521</v>
      </c>
      <c r="V793" s="34" t="s">
        <v>1046</v>
      </c>
      <c r="W793" s="878">
        <v>1</v>
      </c>
      <c r="X793" s="878" t="s">
        <v>8</v>
      </c>
      <c r="Y793" s="522">
        <v>586.46803</v>
      </c>
      <c r="Z793" s="85"/>
      <c r="AA793" s="85"/>
      <c r="AB793" s="85"/>
      <c r="AC793" s="85"/>
      <c r="AD793" s="85"/>
      <c r="AE793" s="85"/>
      <c r="AF793" s="1056"/>
      <c r="AG793" s="1056"/>
      <c r="AH793" s="1056"/>
      <c r="AI793" s="1056"/>
      <c r="AJ793" s="1056"/>
      <c r="AK793" s="1056"/>
      <c r="AL793" s="1056"/>
      <c r="AM793" s="1056"/>
      <c r="AN793" s="1056"/>
      <c r="AO793" s="1056"/>
      <c r="AP793" s="1056"/>
      <c r="AQ793" s="1056"/>
      <c r="AR793" s="1056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</row>
    <row r="794" spans="1:86" s="120" customFormat="1" ht="28.9" customHeight="1" thickBot="1" x14ac:dyDescent="0.25">
      <c r="A794" s="1020"/>
      <c r="B794" s="1011"/>
      <c r="C794" s="370" t="s">
        <v>931</v>
      </c>
      <c r="D794" s="1069"/>
      <c r="E794" s="1069"/>
      <c r="F794" s="1069"/>
      <c r="G794" s="1069"/>
      <c r="H794" s="1068"/>
      <c r="I794" s="1068"/>
      <c r="J794" s="1068"/>
      <c r="K794" s="1068"/>
      <c r="L794" s="1068"/>
      <c r="M794" s="1068"/>
      <c r="N794" s="1068"/>
      <c r="O794" s="1068"/>
      <c r="P794" s="1068"/>
      <c r="Q794" s="1068"/>
      <c r="R794" s="1068"/>
      <c r="S794" s="1113"/>
      <c r="T794" s="1068"/>
      <c r="U794" s="1068"/>
      <c r="V794" s="1068"/>
      <c r="W794" s="88">
        <f>W795+W797</f>
        <v>3.5870000000000002</v>
      </c>
      <c r="X794" s="1068"/>
      <c r="Y794" s="403">
        <f>Y795+Y797</f>
        <v>25137.634439999998</v>
      </c>
      <c r="Z794" s="1028"/>
      <c r="AA794" s="1028"/>
      <c r="AB794" s="1028"/>
      <c r="AC794" s="357">
        <f>AC811+AC817+AC821+AC829+AC803+AC805+AC839+AC841+AC843</f>
        <v>6.2270000000000003</v>
      </c>
      <c r="AD794" s="702"/>
      <c r="AE794" s="357">
        <f>AE797+AE803+AE805+AE811+AE817+AE821+AE829+AE839+AE841+AE843</f>
        <v>50918.833380000004</v>
      </c>
      <c r="AF794" s="1012"/>
      <c r="AG794" s="1012"/>
      <c r="AH794" s="1012"/>
      <c r="AI794" s="89">
        <f>AI809+AI815+AI823+AI825+AI827+AI831+AI833+AI835</f>
        <v>5.0219999999999994</v>
      </c>
      <c r="AJ794" s="153"/>
      <c r="AK794" s="209">
        <f>AK809+AK815+AK823+AK825+AK827+AK831+AK833+AK835+5402.368</f>
        <v>67827.368000000002</v>
      </c>
      <c r="AL794" s="1012"/>
      <c r="AM794" s="1012"/>
      <c r="AN794" s="1012"/>
      <c r="AO794" s="89">
        <f>AO799+AO801+AO807+AO815+AO823+AO837</f>
        <v>4.9150000000000009</v>
      </c>
      <c r="AP794" s="153"/>
      <c r="AQ794" s="209">
        <f>AQ799+AQ801+AQ807+AQ815+AQ823+AQ837</f>
        <v>67827.368000000002</v>
      </c>
      <c r="AR794" s="89"/>
      <c r="AS794" s="119"/>
      <c r="AT794" s="119"/>
      <c r="AU794" s="119"/>
      <c r="AV794" s="119"/>
      <c r="AW794" s="119"/>
      <c r="AX794" s="119"/>
      <c r="AY794" s="119"/>
      <c r="AZ794" s="119"/>
      <c r="BA794" s="119"/>
      <c r="BB794" s="119"/>
      <c r="BC794" s="119"/>
      <c r="BD794" s="119"/>
      <c r="BE794" s="119"/>
      <c r="BF794" s="119"/>
      <c r="BG794" s="119"/>
      <c r="BH794" s="119"/>
      <c r="BI794" s="119"/>
      <c r="BJ794" s="119"/>
      <c r="BK794" s="119"/>
      <c r="BL794" s="119"/>
      <c r="BM794" s="119"/>
      <c r="BN794" s="119"/>
      <c r="BO794" s="119"/>
      <c r="BP794" s="119"/>
      <c r="BQ794" s="119"/>
      <c r="BR794" s="119"/>
      <c r="BS794" s="119"/>
      <c r="BT794" s="119"/>
      <c r="BU794" s="119"/>
      <c r="BV794" s="119"/>
      <c r="BW794" s="119"/>
      <c r="BX794" s="119"/>
      <c r="BY794" s="119"/>
      <c r="BZ794" s="119"/>
      <c r="CA794" s="119"/>
      <c r="CB794" s="119"/>
      <c r="CC794" s="119"/>
      <c r="CD794" s="119"/>
      <c r="CE794" s="119"/>
      <c r="CF794" s="119"/>
      <c r="CG794" s="119"/>
      <c r="CH794" s="119"/>
    </row>
    <row r="795" spans="1:86" s="120" customFormat="1" ht="28.9" customHeight="1" x14ac:dyDescent="0.2">
      <c r="A795" s="1395">
        <v>1</v>
      </c>
      <c r="B795" s="1246">
        <v>10564132</v>
      </c>
      <c r="C795" s="1874" t="s">
        <v>1478</v>
      </c>
      <c r="D795" s="2028">
        <v>0.73799999999999999</v>
      </c>
      <c r="E795" s="1789">
        <v>3690</v>
      </c>
      <c r="F795" s="2028">
        <v>0.73799999999999999</v>
      </c>
      <c r="G795" s="1789">
        <v>3690</v>
      </c>
      <c r="H795" s="1068"/>
      <c r="I795" s="1068"/>
      <c r="J795" s="1068"/>
      <c r="K795" s="1068"/>
      <c r="L795" s="1068"/>
      <c r="M795" s="1068"/>
      <c r="N795" s="1068"/>
      <c r="O795" s="1068"/>
      <c r="P795" s="1068"/>
      <c r="Q795" s="1068"/>
      <c r="R795" s="1068"/>
      <c r="S795" s="1113"/>
      <c r="T795" s="1369" t="s">
        <v>441</v>
      </c>
      <c r="U795" s="1369" t="s">
        <v>1482</v>
      </c>
      <c r="V795" s="2078" t="s">
        <v>43</v>
      </c>
      <c r="W795" s="1012">
        <v>0.77800000000000002</v>
      </c>
      <c r="X795" s="1012" t="s">
        <v>2</v>
      </c>
      <c r="Y795" s="2077">
        <f>4699.29813+257</f>
        <v>4956.2981300000001</v>
      </c>
      <c r="Z795" s="1068"/>
      <c r="AA795" s="1068"/>
      <c r="AB795" s="1068"/>
      <c r="AC795" s="92"/>
      <c r="AD795" s="92"/>
      <c r="AE795" s="686"/>
      <c r="AF795" s="653"/>
      <c r="AG795" s="1012"/>
      <c r="AH795" s="1012"/>
      <c r="AI795" s="153"/>
      <c r="AJ795" s="153"/>
      <c r="AK795" s="207"/>
      <c r="AL795" s="1012"/>
      <c r="AM795" s="1012"/>
      <c r="AN795" s="1012"/>
      <c r="AO795" s="153"/>
      <c r="AP795" s="153"/>
      <c r="AQ795" s="1197"/>
      <c r="AR795" s="89"/>
      <c r="AS795" s="119"/>
      <c r="AT795" s="119"/>
      <c r="AU795" s="119"/>
      <c r="AV795" s="119"/>
      <c r="AW795" s="119"/>
      <c r="AX795" s="119"/>
      <c r="AY795" s="119"/>
      <c r="AZ795" s="119"/>
      <c r="BA795" s="119"/>
      <c r="BB795" s="119"/>
      <c r="BC795" s="119"/>
      <c r="BD795" s="119"/>
      <c r="BE795" s="119"/>
      <c r="BF795" s="119"/>
      <c r="BG795" s="119"/>
      <c r="BH795" s="119"/>
      <c r="BI795" s="119"/>
      <c r="BJ795" s="119"/>
      <c r="BK795" s="119"/>
      <c r="BL795" s="119"/>
      <c r="BM795" s="119"/>
      <c r="BN795" s="119"/>
      <c r="BO795" s="119"/>
      <c r="BP795" s="119"/>
      <c r="BQ795" s="119"/>
      <c r="BR795" s="119"/>
      <c r="BS795" s="119"/>
      <c r="BT795" s="119"/>
      <c r="BU795" s="119"/>
      <c r="BV795" s="119"/>
      <c r="BW795" s="119"/>
      <c r="BX795" s="119"/>
      <c r="BY795" s="119"/>
      <c r="BZ795" s="119"/>
      <c r="CA795" s="119"/>
      <c r="CB795" s="119"/>
      <c r="CC795" s="119"/>
      <c r="CD795" s="119"/>
      <c r="CE795" s="119"/>
      <c r="CF795" s="119"/>
      <c r="CG795" s="119"/>
      <c r="CH795" s="119"/>
    </row>
    <row r="796" spans="1:86" s="120" customFormat="1" ht="28.9" customHeight="1" thickBot="1" x14ac:dyDescent="0.25">
      <c r="A796" s="1396"/>
      <c r="B796" s="1236"/>
      <c r="C796" s="1875"/>
      <c r="D796" s="2051"/>
      <c r="E796" s="1790"/>
      <c r="F796" s="2051"/>
      <c r="G796" s="1790"/>
      <c r="H796" s="1068"/>
      <c r="I796" s="1068"/>
      <c r="J796" s="1068"/>
      <c r="K796" s="1068"/>
      <c r="L796" s="1068"/>
      <c r="M796" s="1068"/>
      <c r="N796" s="1068"/>
      <c r="O796" s="1068"/>
      <c r="P796" s="1068"/>
      <c r="Q796" s="1068"/>
      <c r="R796" s="1068"/>
      <c r="S796" s="1113"/>
      <c r="T796" s="1235"/>
      <c r="U796" s="1235"/>
      <c r="V796" s="1213"/>
      <c r="W796" s="1115">
        <v>3379</v>
      </c>
      <c r="X796" s="1068" t="s">
        <v>3</v>
      </c>
      <c r="Y796" s="1960"/>
      <c r="Z796" s="1068"/>
      <c r="AA796" s="1068"/>
      <c r="AB796" s="1068"/>
      <c r="AC796" s="92"/>
      <c r="AD796" s="92"/>
      <c r="AE796" s="686"/>
      <c r="AF796" s="653"/>
      <c r="AG796" s="1012"/>
      <c r="AH796" s="1012"/>
      <c r="AI796" s="153"/>
      <c r="AJ796" s="153"/>
      <c r="AK796" s="207"/>
      <c r="AL796" s="1012"/>
      <c r="AM796" s="1012"/>
      <c r="AN796" s="1012"/>
      <c r="AO796" s="153"/>
      <c r="AP796" s="153"/>
      <c r="AQ796" s="207"/>
      <c r="AR796" s="89"/>
      <c r="AS796" s="119"/>
      <c r="AT796" s="119"/>
      <c r="AU796" s="119"/>
      <c r="AV796" s="119"/>
      <c r="AW796" s="119"/>
      <c r="AX796" s="119"/>
      <c r="AY796" s="119"/>
      <c r="AZ796" s="119"/>
      <c r="BA796" s="119"/>
      <c r="BB796" s="119"/>
      <c r="BC796" s="119"/>
      <c r="BD796" s="119"/>
      <c r="BE796" s="119"/>
      <c r="BF796" s="119"/>
      <c r="BG796" s="119"/>
      <c r="BH796" s="119"/>
      <c r="BI796" s="119"/>
      <c r="BJ796" s="119"/>
      <c r="BK796" s="119"/>
      <c r="BL796" s="119"/>
      <c r="BM796" s="119"/>
      <c r="BN796" s="119"/>
      <c r="BO796" s="119"/>
      <c r="BP796" s="119"/>
      <c r="BQ796" s="119"/>
      <c r="BR796" s="119"/>
      <c r="BS796" s="119"/>
      <c r="BT796" s="119"/>
      <c r="BU796" s="119"/>
      <c r="BV796" s="119"/>
      <c r="BW796" s="119"/>
      <c r="BX796" s="119"/>
      <c r="BY796" s="119"/>
      <c r="BZ796" s="119"/>
      <c r="CA796" s="119"/>
      <c r="CB796" s="119"/>
      <c r="CC796" s="119"/>
      <c r="CD796" s="119"/>
      <c r="CE796" s="119"/>
      <c r="CF796" s="119"/>
      <c r="CG796" s="119"/>
      <c r="CH796" s="119"/>
    </row>
    <row r="797" spans="1:86" s="120" customFormat="1" ht="28.9" customHeight="1" x14ac:dyDescent="0.2">
      <c r="A797" s="1395">
        <v>2</v>
      </c>
      <c r="B797" s="1246">
        <v>8701599</v>
      </c>
      <c r="C797" s="1874" t="s">
        <v>1479</v>
      </c>
      <c r="D797" s="2028">
        <v>2.8090000000000002</v>
      </c>
      <c r="E797" s="1789">
        <f>12640.5</f>
        <v>12640.5</v>
      </c>
      <c r="F797" s="2028">
        <v>2.8090000000000002</v>
      </c>
      <c r="G797" s="1789">
        <f>12640.5</f>
        <v>12640.5</v>
      </c>
      <c r="H797" s="1068"/>
      <c r="I797" s="1068"/>
      <c r="J797" s="1068"/>
      <c r="K797" s="1068"/>
      <c r="L797" s="1068"/>
      <c r="M797" s="1068"/>
      <c r="N797" s="1068"/>
      <c r="O797" s="1068"/>
      <c r="P797" s="1068"/>
      <c r="Q797" s="1068"/>
      <c r="R797" s="1068"/>
      <c r="S797" s="1113"/>
      <c r="T797" s="1369" t="s">
        <v>441</v>
      </c>
      <c r="U797" s="1369" t="s">
        <v>1481</v>
      </c>
      <c r="V797" s="2078" t="s">
        <v>43</v>
      </c>
      <c r="W797" s="1012">
        <v>2.8090000000000002</v>
      </c>
      <c r="X797" s="1012" t="s">
        <v>2</v>
      </c>
      <c r="Y797" s="2077">
        <v>20181.336309999999</v>
      </c>
      <c r="Z797" s="302"/>
      <c r="AA797" s="302"/>
      <c r="AB797" s="34"/>
      <c r="AC797" s="1068"/>
      <c r="AD797" s="1068"/>
      <c r="AE797" s="2449"/>
      <c r="AF797" s="653"/>
      <c r="AG797" s="1012"/>
      <c r="AH797" s="1012"/>
      <c r="AI797" s="153"/>
      <c r="AJ797" s="153"/>
      <c r="AK797" s="207"/>
      <c r="AL797" s="1012"/>
      <c r="AM797" s="1012"/>
      <c r="AN797" s="1012"/>
      <c r="AO797" s="153"/>
      <c r="AP797" s="153"/>
      <c r="AQ797" s="207"/>
      <c r="AR797" s="89"/>
      <c r="AS797" s="119"/>
      <c r="AT797" s="119"/>
      <c r="AU797" s="119"/>
      <c r="AV797" s="119"/>
      <c r="AW797" s="119"/>
      <c r="AX797" s="119"/>
      <c r="AY797" s="119"/>
      <c r="AZ797" s="119"/>
      <c r="BA797" s="119"/>
      <c r="BB797" s="119"/>
      <c r="BC797" s="119"/>
      <c r="BD797" s="119"/>
      <c r="BE797" s="119"/>
      <c r="BF797" s="119"/>
      <c r="BG797" s="119"/>
      <c r="BH797" s="119"/>
      <c r="BI797" s="119"/>
      <c r="BJ797" s="119"/>
      <c r="BK797" s="119"/>
      <c r="BL797" s="119"/>
      <c r="BM797" s="119"/>
      <c r="BN797" s="119"/>
      <c r="BO797" s="119"/>
      <c r="BP797" s="119"/>
      <c r="BQ797" s="119"/>
      <c r="BR797" s="119"/>
      <c r="BS797" s="119"/>
      <c r="BT797" s="119"/>
      <c r="BU797" s="119"/>
      <c r="BV797" s="119"/>
      <c r="BW797" s="119"/>
      <c r="BX797" s="119"/>
      <c r="BY797" s="119"/>
      <c r="BZ797" s="119"/>
      <c r="CA797" s="119"/>
      <c r="CB797" s="119"/>
      <c r="CC797" s="119"/>
      <c r="CD797" s="119"/>
      <c r="CE797" s="119"/>
      <c r="CF797" s="119"/>
      <c r="CG797" s="119"/>
      <c r="CH797" s="119"/>
    </row>
    <row r="798" spans="1:86" s="120" customFormat="1" ht="28.9" customHeight="1" thickBot="1" x14ac:dyDescent="0.25">
      <c r="A798" s="1396"/>
      <c r="B798" s="1236"/>
      <c r="C798" s="1875"/>
      <c r="D798" s="2051"/>
      <c r="E798" s="1790"/>
      <c r="F798" s="2051"/>
      <c r="G798" s="1790"/>
      <c r="H798" s="1068"/>
      <c r="I798" s="1068"/>
      <c r="J798" s="1068"/>
      <c r="K798" s="1068"/>
      <c r="L798" s="1068"/>
      <c r="M798" s="1068"/>
      <c r="N798" s="1068"/>
      <c r="O798" s="1068"/>
      <c r="P798" s="1068"/>
      <c r="Q798" s="1068"/>
      <c r="R798" s="1068"/>
      <c r="S798" s="1113"/>
      <c r="T798" s="1235"/>
      <c r="U798" s="1235"/>
      <c r="V798" s="1213"/>
      <c r="W798" s="1115">
        <v>12415.78</v>
      </c>
      <c r="X798" s="1068" t="s">
        <v>3</v>
      </c>
      <c r="Y798" s="1960"/>
      <c r="Z798" s="302"/>
      <c r="AA798" s="302"/>
      <c r="AB798" s="34"/>
      <c r="AC798" s="1115"/>
      <c r="AD798" s="1068"/>
      <c r="AE798" s="2449"/>
      <c r="AF798" s="653"/>
      <c r="AG798" s="1012"/>
      <c r="AH798" s="1012"/>
      <c r="AI798" s="153"/>
      <c r="AJ798" s="153"/>
      <c r="AK798" s="207"/>
      <c r="AL798" s="1012"/>
      <c r="AM798" s="1012"/>
      <c r="AN798" s="1012"/>
      <c r="AO798" s="153"/>
      <c r="AP798" s="153"/>
      <c r="AQ798" s="207"/>
      <c r="AR798" s="89"/>
      <c r="AS798" s="119"/>
      <c r="AT798" s="119"/>
      <c r="AU798" s="119"/>
      <c r="AV798" s="119"/>
      <c r="AW798" s="119"/>
      <c r="AX798" s="119"/>
      <c r="AY798" s="119"/>
      <c r="AZ798" s="119"/>
      <c r="BA798" s="119"/>
      <c r="BB798" s="119"/>
      <c r="BC798" s="119"/>
      <c r="BD798" s="119"/>
      <c r="BE798" s="119"/>
      <c r="BF798" s="119"/>
      <c r="BG798" s="119"/>
      <c r="BH798" s="119"/>
      <c r="BI798" s="119"/>
      <c r="BJ798" s="119"/>
      <c r="BK798" s="119"/>
      <c r="BL798" s="119"/>
      <c r="BM798" s="119"/>
      <c r="BN798" s="119"/>
      <c r="BO798" s="119"/>
      <c r="BP798" s="119"/>
      <c r="BQ798" s="119"/>
      <c r="BR798" s="119"/>
      <c r="BS798" s="119"/>
      <c r="BT798" s="119"/>
      <c r="BU798" s="119"/>
      <c r="BV798" s="119"/>
      <c r="BW798" s="119"/>
      <c r="BX798" s="119"/>
      <c r="BY798" s="119"/>
      <c r="BZ798" s="119"/>
      <c r="CA798" s="119"/>
      <c r="CB798" s="119"/>
      <c r="CC798" s="119"/>
      <c r="CD798" s="119"/>
      <c r="CE798" s="119"/>
      <c r="CF798" s="119"/>
      <c r="CG798" s="119"/>
      <c r="CH798" s="119"/>
    </row>
    <row r="799" spans="1:86" s="53" customFormat="1" ht="32.25" customHeight="1" x14ac:dyDescent="0.2">
      <c r="A799" s="1395">
        <v>3</v>
      </c>
      <c r="B799" s="1246">
        <v>3404380</v>
      </c>
      <c r="C799" s="1874" t="s">
        <v>581</v>
      </c>
      <c r="D799" s="2028">
        <v>8.25</v>
      </c>
      <c r="E799" s="1789">
        <v>33135</v>
      </c>
      <c r="F799" s="2028">
        <v>8.25</v>
      </c>
      <c r="G799" s="1789">
        <v>33135</v>
      </c>
      <c r="H799" s="1012"/>
      <c r="I799" s="1012"/>
      <c r="J799" s="1012"/>
      <c r="K799" s="1012"/>
      <c r="L799" s="1012"/>
      <c r="M799" s="1012"/>
      <c r="N799" s="1012"/>
      <c r="O799" s="1012"/>
      <c r="P799" s="1012"/>
      <c r="Q799" s="1012"/>
      <c r="R799" s="1012"/>
      <c r="S799" s="1007"/>
      <c r="T799" s="1012"/>
      <c r="U799" s="1012"/>
      <c r="V799" s="1012"/>
      <c r="W799" s="1021"/>
      <c r="X799" s="1012"/>
      <c r="Y799" s="1074"/>
      <c r="Z799" s="458"/>
      <c r="AA799" s="458"/>
      <c r="AB799" s="700"/>
      <c r="AC799" s="975"/>
      <c r="AD799" s="928"/>
      <c r="AE799" s="298"/>
      <c r="AF799" s="354"/>
      <c r="AG799" s="1056"/>
      <c r="AH799" s="1056"/>
      <c r="AI799" s="1056"/>
      <c r="AJ799" s="1056"/>
      <c r="AK799" s="296"/>
      <c r="AL799" s="1762" t="s">
        <v>441</v>
      </c>
      <c r="AM799" s="1762" t="s">
        <v>1498</v>
      </c>
      <c r="AN799" s="1763" t="s">
        <v>5</v>
      </c>
      <c r="AO799" s="985">
        <v>1.8160000000000001</v>
      </c>
      <c r="AP799" s="1081" t="s">
        <v>2</v>
      </c>
      <c r="AQ799" s="1352">
        <f>AO799*13000</f>
        <v>23608</v>
      </c>
      <c r="AR799" s="29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</row>
    <row r="800" spans="1:86" s="53" customFormat="1" ht="32.25" customHeight="1" thickBot="1" x14ac:dyDescent="0.25">
      <c r="A800" s="1396"/>
      <c r="B800" s="1236"/>
      <c r="C800" s="1875"/>
      <c r="D800" s="2051"/>
      <c r="E800" s="1790"/>
      <c r="F800" s="2051"/>
      <c r="G800" s="1790"/>
      <c r="H800" s="1029"/>
      <c r="I800" s="1029"/>
      <c r="J800" s="1029"/>
      <c r="K800" s="1029"/>
      <c r="L800" s="1029"/>
      <c r="M800" s="1029"/>
      <c r="N800" s="1029"/>
      <c r="O800" s="1029"/>
      <c r="P800" s="1029"/>
      <c r="Q800" s="1029"/>
      <c r="R800" s="1029"/>
      <c r="S800" s="1094"/>
      <c r="T800" s="1029"/>
      <c r="U800" s="1029"/>
      <c r="V800" s="1029"/>
      <c r="W800" s="542"/>
      <c r="X800" s="606"/>
      <c r="Y800" s="1077"/>
      <c r="Z800" s="458"/>
      <c r="AA800" s="458"/>
      <c r="AB800" s="700"/>
      <c r="AC800" s="1162"/>
      <c r="AD800" s="928"/>
      <c r="AE800" s="298"/>
      <c r="AF800" s="247"/>
      <c r="AG800" s="1056"/>
      <c r="AH800" s="1056"/>
      <c r="AI800" s="153"/>
      <c r="AJ800" s="153"/>
      <c r="AK800" s="207"/>
      <c r="AL800" s="1266"/>
      <c r="AM800" s="1266"/>
      <c r="AN800" s="1764"/>
      <c r="AO800" s="701">
        <f>AO799*4016</f>
        <v>7293.0560000000005</v>
      </c>
      <c r="AP800" s="929" t="s">
        <v>3</v>
      </c>
      <c r="AQ800" s="1770"/>
      <c r="AR800" s="1056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</row>
    <row r="801" spans="1:86" s="53" customFormat="1" ht="21.75" customHeight="1" x14ac:dyDescent="0.2">
      <c r="A801" s="1850">
        <v>4</v>
      </c>
      <c r="B801" s="1408">
        <v>3404371</v>
      </c>
      <c r="C801" s="1410" t="s">
        <v>82</v>
      </c>
      <c r="D801" s="1421">
        <v>2.02</v>
      </c>
      <c r="E801" s="1422">
        <v>8080</v>
      </c>
      <c r="F801" s="1421">
        <v>2.02</v>
      </c>
      <c r="G801" s="1422">
        <v>8080</v>
      </c>
      <c r="H801" s="1056"/>
      <c r="I801" s="1056"/>
      <c r="J801" s="1056"/>
      <c r="K801" s="1056"/>
      <c r="L801" s="1056"/>
      <c r="M801" s="1056"/>
      <c r="N801" s="1056"/>
      <c r="O801" s="1056"/>
      <c r="P801" s="1056"/>
      <c r="Q801" s="1056"/>
      <c r="R801" s="1056"/>
      <c r="S801" s="296"/>
      <c r="T801" s="294"/>
      <c r="U801" s="294"/>
      <c r="V801" s="294"/>
      <c r="W801" s="83"/>
      <c r="X801" s="1056"/>
      <c r="Y801" s="295"/>
      <c r="Z801" s="1056"/>
      <c r="AA801" s="1056"/>
      <c r="AB801" s="1056"/>
      <c r="AC801" s="1056"/>
      <c r="AD801" s="1056"/>
      <c r="AE801" s="296"/>
      <c r="AF801" s="45"/>
      <c r="AG801" s="45"/>
      <c r="AH801" s="45"/>
      <c r="AI801" s="800"/>
      <c r="AJ801" s="1051"/>
      <c r="AK801" s="699"/>
      <c r="AL801" s="1302" t="s">
        <v>441</v>
      </c>
      <c r="AM801" s="1302" t="s">
        <v>473</v>
      </c>
      <c r="AN801" s="1302" t="s">
        <v>5</v>
      </c>
      <c r="AO801" s="800">
        <v>2.02</v>
      </c>
      <c r="AP801" s="1051" t="s">
        <v>2</v>
      </c>
      <c r="AQ801" s="1319">
        <f>AO801*13000-644.632</f>
        <v>25615.367999999999</v>
      </c>
      <c r="AR801" s="29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</row>
    <row r="802" spans="1:86" s="53" customFormat="1" ht="21.75" customHeight="1" x14ac:dyDescent="0.2">
      <c r="A802" s="1394"/>
      <c r="B802" s="1409"/>
      <c r="C802" s="1411"/>
      <c r="D802" s="1416"/>
      <c r="E802" s="1418"/>
      <c r="F802" s="1416"/>
      <c r="G802" s="1418"/>
      <c r="H802" s="1056"/>
      <c r="I802" s="1056"/>
      <c r="J802" s="1056"/>
      <c r="K802" s="1056"/>
      <c r="L802" s="1056"/>
      <c r="M802" s="1056"/>
      <c r="N802" s="1056"/>
      <c r="O802" s="1056"/>
      <c r="P802" s="1056"/>
      <c r="Q802" s="1056"/>
      <c r="R802" s="1056"/>
      <c r="S802" s="296"/>
      <c r="T802" s="294"/>
      <c r="U802" s="294"/>
      <c r="V802" s="294"/>
      <c r="W802" s="84"/>
      <c r="X802" s="85"/>
      <c r="Y802" s="295"/>
      <c r="Z802" s="1056"/>
      <c r="AA802" s="1056"/>
      <c r="AB802" s="1056"/>
      <c r="AC802" s="1056"/>
      <c r="AD802" s="1056"/>
      <c r="AE802" s="296"/>
      <c r="AF802" s="45"/>
      <c r="AG802" s="45"/>
      <c r="AH802" s="45"/>
      <c r="AI802" s="43"/>
      <c r="AJ802" s="1051"/>
      <c r="AK802" s="699"/>
      <c r="AL802" s="1293"/>
      <c r="AM802" s="1293"/>
      <c r="AN802" s="1293"/>
      <c r="AO802" s="1150">
        <v>8080</v>
      </c>
      <c r="AP802" s="959" t="s">
        <v>3</v>
      </c>
      <c r="AQ802" s="1214"/>
      <c r="AR802" s="1056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</row>
    <row r="803" spans="1:86" s="53" customFormat="1" ht="21.75" customHeight="1" x14ac:dyDescent="0.2">
      <c r="A803" s="1393">
        <v>5</v>
      </c>
      <c r="B803" s="1685">
        <v>2244804</v>
      </c>
      <c r="C803" s="1435" t="s">
        <v>472</v>
      </c>
      <c r="D803" s="1415">
        <v>0.52</v>
      </c>
      <c r="E803" s="1417">
        <v>4160</v>
      </c>
      <c r="F803" s="1415">
        <v>0.52</v>
      </c>
      <c r="G803" s="1417">
        <v>4160</v>
      </c>
      <c r="H803" s="1056"/>
      <c r="I803" s="1056"/>
      <c r="J803" s="1056"/>
      <c r="K803" s="1056"/>
      <c r="L803" s="1056"/>
      <c r="M803" s="1056"/>
      <c r="N803" s="1056"/>
      <c r="O803" s="1056"/>
      <c r="P803" s="1056"/>
      <c r="Q803" s="1056"/>
      <c r="R803" s="1056"/>
      <c r="S803" s="296"/>
      <c r="T803" s="294"/>
      <c r="U803" s="294"/>
      <c r="V803" s="294"/>
      <c r="W803" s="84"/>
      <c r="X803" s="85"/>
      <c r="Y803" s="295"/>
      <c r="Z803" s="1691" t="s">
        <v>441</v>
      </c>
      <c r="AA803" s="1691" t="s">
        <v>474</v>
      </c>
      <c r="AB803" s="1737" t="s">
        <v>5</v>
      </c>
      <c r="AC803" s="1152">
        <v>0.52</v>
      </c>
      <c r="AD803" s="238" t="s">
        <v>2</v>
      </c>
      <c r="AE803" s="1319">
        <v>5494.6817000000001</v>
      </c>
      <c r="AF803" s="268"/>
      <c r="AG803" s="268"/>
      <c r="AH803" s="269"/>
      <c r="AI803" s="800"/>
      <c r="AJ803" s="935"/>
      <c r="AK803" s="699"/>
      <c r="AL803" s="295"/>
      <c r="AM803" s="1056"/>
      <c r="AN803" s="1056"/>
      <c r="AO803" s="1056"/>
      <c r="AP803" s="1056"/>
      <c r="AQ803" s="714"/>
      <c r="AR803" s="1056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</row>
    <row r="804" spans="1:86" s="53" customFormat="1" ht="21.75" customHeight="1" x14ac:dyDescent="0.2">
      <c r="A804" s="1394"/>
      <c r="B804" s="1409"/>
      <c r="C804" s="1411"/>
      <c r="D804" s="1416"/>
      <c r="E804" s="1418"/>
      <c r="F804" s="1416"/>
      <c r="G804" s="1418"/>
      <c r="H804" s="1056"/>
      <c r="I804" s="1056"/>
      <c r="J804" s="1056"/>
      <c r="K804" s="1056"/>
      <c r="L804" s="1056"/>
      <c r="M804" s="1056"/>
      <c r="N804" s="1056"/>
      <c r="O804" s="1056"/>
      <c r="P804" s="1056"/>
      <c r="Q804" s="1056"/>
      <c r="R804" s="1056"/>
      <c r="S804" s="296"/>
      <c r="T804" s="294"/>
      <c r="U804" s="294"/>
      <c r="V804" s="294"/>
      <c r="W804" s="84"/>
      <c r="X804" s="85"/>
      <c r="Y804" s="295"/>
      <c r="Z804" s="1692"/>
      <c r="AA804" s="1692"/>
      <c r="AB804" s="1738"/>
      <c r="AC804" s="1155">
        <v>4160</v>
      </c>
      <c r="AD804" s="239" t="s">
        <v>3</v>
      </c>
      <c r="AE804" s="1214"/>
      <c r="AF804" s="268"/>
      <c r="AG804" s="268"/>
      <c r="AH804" s="269"/>
      <c r="AI804" s="43"/>
      <c r="AJ804" s="935"/>
      <c r="AK804" s="699"/>
      <c r="AL804" s="1056"/>
      <c r="AM804" s="1056"/>
      <c r="AN804" s="1056"/>
      <c r="AO804" s="1056"/>
      <c r="AP804" s="1056"/>
      <c r="AQ804" s="714"/>
      <c r="AR804" s="1056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</row>
    <row r="805" spans="1:86" s="53" customFormat="1" ht="27" customHeight="1" x14ac:dyDescent="0.2">
      <c r="A805" s="1393">
        <v>6</v>
      </c>
      <c r="B805" s="1419">
        <v>3404386</v>
      </c>
      <c r="C805" s="1435" t="s">
        <v>480</v>
      </c>
      <c r="D805" s="1415">
        <v>0.99099999999999999</v>
      </c>
      <c r="E805" s="1417">
        <f>D805*5100.806</f>
        <v>5054.8987459999998</v>
      </c>
      <c r="F805" s="1415">
        <v>0.496</v>
      </c>
      <c r="G805" s="1417">
        <v>2530</v>
      </c>
      <c r="H805" s="1056"/>
      <c r="I805" s="1056"/>
      <c r="J805" s="1056"/>
      <c r="K805" s="1056"/>
      <c r="L805" s="1056"/>
      <c r="M805" s="1056"/>
      <c r="N805" s="1056"/>
      <c r="O805" s="1056"/>
      <c r="P805" s="1056"/>
      <c r="Q805" s="1056"/>
      <c r="R805" s="1056"/>
      <c r="S805" s="296"/>
      <c r="T805" s="294"/>
      <c r="U805" s="294"/>
      <c r="V805" s="294"/>
      <c r="W805" s="84"/>
      <c r="X805" s="85"/>
      <c r="Y805" s="295"/>
      <c r="Z805" s="1302" t="s">
        <v>441</v>
      </c>
      <c r="AA805" s="1302" t="s">
        <v>1560</v>
      </c>
      <c r="AB805" s="1302" t="s">
        <v>5</v>
      </c>
      <c r="AC805" s="1152">
        <v>0.504</v>
      </c>
      <c r="AD805" s="1051" t="s">
        <v>2</v>
      </c>
      <c r="AE805" s="1319">
        <v>4387.5707400000001</v>
      </c>
      <c r="AF805" s="45"/>
      <c r="AG805" s="45"/>
      <c r="AH805" s="45"/>
      <c r="AI805" s="800"/>
      <c r="AJ805" s="1051"/>
      <c r="AK805" s="699"/>
      <c r="AL805" s="295"/>
      <c r="AM805" s="1056"/>
      <c r="AN805" s="1056"/>
      <c r="AO805" s="1056"/>
      <c r="AP805" s="1056"/>
      <c r="AQ805" s="714"/>
      <c r="AR805" s="1056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</row>
    <row r="806" spans="1:86" s="53" customFormat="1" ht="27" customHeight="1" x14ac:dyDescent="0.2">
      <c r="A806" s="1394"/>
      <c r="B806" s="1420"/>
      <c r="C806" s="1411"/>
      <c r="D806" s="1416"/>
      <c r="E806" s="1418"/>
      <c r="F806" s="1416"/>
      <c r="G806" s="1418"/>
      <c r="H806" s="1056"/>
      <c r="I806" s="1056"/>
      <c r="J806" s="1056"/>
      <c r="K806" s="1056"/>
      <c r="L806" s="1056"/>
      <c r="M806" s="1056"/>
      <c r="N806" s="1056"/>
      <c r="O806" s="1056"/>
      <c r="P806" s="1056"/>
      <c r="Q806" s="1056"/>
      <c r="R806" s="1056"/>
      <c r="S806" s="296"/>
      <c r="T806" s="294"/>
      <c r="U806" s="294"/>
      <c r="V806" s="294"/>
      <c r="W806" s="84"/>
      <c r="X806" s="85"/>
      <c r="Y806" s="295"/>
      <c r="Z806" s="1293"/>
      <c r="AA806" s="1293"/>
      <c r="AB806" s="1293"/>
      <c r="AC806" s="1155">
        <v>2530</v>
      </c>
      <c r="AD806" s="959" t="s">
        <v>3</v>
      </c>
      <c r="AE806" s="1214"/>
      <c r="AF806" s="45"/>
      <c r="AG806" s="45"/>
      <c r="AH806" s="45"/>
      <c r="AI806" s="43"/>
      <c r="AJ806" s="1051"/>
      <c r="AK806" s="699"/>
      <c r="AL806" s="1056"/>
      <c r="AM806" s="1056"/>
      <c r="AN806" s="1056"/>
      <c r="AO806" s="1056"/>
      <c r="AP806" s="1056"/>
      <c r="AQ806" s="714"/>
      <c r="AR806" s="1056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</row>
    <row r="807" spans="1:86" s="53" customFormat="1" ht="25.5" hidden="1" customHeight="1" x14ac:dyDescent="0.2">
      <c r="A807" s="1393">
        <v>7</v>
      </c>
      <c r="B807" s="1685">
        <v>3404391</v>
      </c>
      <c r="C807" s="1435" t="s">
        <v>81</v>
      </c>
      <c r="D807" s="1415">
        <v>4</v>
      </c>
      <c r="E807" s="1417">
        <v>26400</v>
      </c>
      <c r="F807" s="1415">
        <v>4</v>
      </c>
      <c r="G807" s="1417">
        <v>26400</v>
      </c>
      <c r="H807" s="1056"/>
      <c r="I807" s="1056"/>
      <c r="J807" s="1056"/>
      <c r="K807" s="1056"/>
      <c r="L807" s="1056"/>
      <c r="M807" s="1056"/>
      <c r="N807" s="1056"/>
      <c r="O807" s="1056"/>
      <c r="P807" s="1056"/>
      <c r="Q807" s="1056"/>
      <c r="R807" s="1056"/>
      <c r="S807" s="296"/>
      <c r="T807" s="294"/>
      <c r="U807" s="294"/>
      <c r="V807" s="294"/>
      <c r="W807" s="84"/>
      <c r="X807" s="85"/>
      <c r="Y807" s="295"/>
      <c r="Z807" s="1056"/>
      <c r="AA807" s="1056"/>
      <c r="AB807" s="1056"/>
      <c r="AC807" s="1056"/>
      <c r="AD807" s="1056"/>
      <c r="AE807" s="296"/>
      <c r="AF807" s="174"/>
      <c r="AG807" s="174"/>
      <c r="AH807" s="174"/>
      <c r="AI807" s="42"/>
      <c r="AJ807" s="883"/>
      <c r="AK807" s="699"/>
      <c r="AL807" s="1279" t="s">
        <v>441</v>
      </c>
      <c r="AM807" s="1279" t="s">
        <v>534</v>
      </c>
      <c r="AN807" s="1279" t="s">
        <v>5</v>
      </c>
      <c r="AO807" s="42"/>
      <c r="AP807" s="893" t="s">
        <v>2</v>
      </c>
      <c r="AQ807" s="1768">
        <f>AO807*12000</f>
        <v>0</v>
      </c>
      <c r="AR807" s="29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</row>
    <row r="808" spans="1:86" s="53" customFormat="1" ht="25.5" hidden="1" customHeight="1" x14ac:dyDescent="0.2">
      <c r="A808" s="1394"/>
      <c r="B808" s="1409"/>
      <c r="C808" s="1411"/>
      <c r="D808" s="1416"/>
      <c r="E808" s="1418"/>
      <c r="F808" s="1416"/>
      <c r="G808" s="1418"/>
      <c r="H808" s="1056"/>
      <c r="I808" s="1056"/>
      <c r="J808" s="1056"/>
      <c r="K808" s="1056"/>
      <c r="L808" s="1056"/>
      <c r="M808" s="1056"/>
      <c r="N808" s="1056"/>
      <c r="O808" s="1056"/>
      <c r="P808" s="1056"/>
      <c r="Q808" s="1056"/>
      <c r="R808" s="1056"/>
      <c r="S808" s="296"/>
      <c r="T808" s="294"/>
      <c r="U808" s="294"/>
      <c r="V808" s="294"/>
      <c r="W808" s="84"/>
      <c r="X808" s="85"/>
      <c r="Y808" s="295"/>
      <c r="Z808" s="1056"/>
      <c r="AA808" s="1056"/>
      <c r="AB808" s="1056"/>
      <c r="AC808" s="1056"/>
      <c r="AD808" s="1056"/>
      <c r="AE808" s="296"/>
      <c r="AF808" s="174"/>
      <c r="AG808" s="174"/>
      <c r="AH808" s="174"/>
      <c r="AI808" s="41"/>
      <c r="AJ808" s="883"/>
      <c r="AK808" s="699"/>
      <c r="AL808" s="1268"/>
      <c r="AM808" s="1268"/>
      <c r="AN808" s="1268"/>
      <c r="AO808" s="41"/>
      <c r="AP808" s="893" t="s">
        <v>3</v>
      </c>
      <c r="AQ808" s="1769"/>
      <c r="AR808" s="1056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</row>
    <row r="809" spans="1:86" s="53" customFormat="1" ht="21.75" customHeight="1" x14ac:dyDescent="0.2">
      <c r="A809" s="1393">
        <v>7</v>
      </c>
      <c r="B809" s="1685">
        <v>3404406</v>
      </c>
      <c r="C809" s="1435" t="s">
        <v>481</v>
      </c>
      <c r="D809" s="1415">
        <v>2.194</v>
      </c>
      <c r="E809" s="1417">
        <v>9653.6</v>
      </c>
      <c r="F809" s="1415">
        <v>0.32400000000000001</v>
      </c>
      <c r="G809" s="1417">
        <v>1425.6</v>
      </c>
      <c r="H809" s="1056"/>
      <c r="I809" s="1056"/>
      <c r="J809" s="1056"/>
      <c r="K809" s="1056"/>
      <c r="L809" s="1056"/>
      <c r="M809" s="1056"/>
      <c r="N809" s="1056"/>
      <c r="O809" s="1056"/>
      <c r="P809" s="1056"/>
      <c r="Q809" s="1056"/>
      <c r="R809" s="1056"/>
      <c r="S809" s="296"/>
      <c r="T809" s="294"/>
      <c r="U809" s="294"/>
      <c r="V809" s="294"/>
      <c r="W809" s="84"/>
      <c r="X809" s="85"/>
      <c r="Y809" s="295"/>
      <c r="Z809" s="1056"/>
      <c r="AA809" s="1056"/>
      <c r="AB809" s="1056"/>
      <c r="AC809" s="1056"/>
      <c r="AD809" s="1056"/>
      <c r="AE809" s="296"/>
      <c r="AF809" s="1279" t="s">
        <v>441</v>
      </c>
      <c r="AG809" s="1279" t="s">
        <v>476</v>
      </c>
      <c r="AH809" s="1279" t="s">
        <v>5</v>
      </c>
      <c r="AI809" s="975">
        <v>0.32400000000000001</v>
      </c>
      <c r="AJ809" s="883" t="s">
        <v>2</v>
      </c>
      <c r="AK809" s="2450">
        <v>4023</v>
      </c>
      <c r="AL809" s="295"/>
      <c r="AM809" s="1056"/>
      <c r="AN809" s="1056"/>
      <c r="AO809" s="1056"/>
      <c r="AP809" s="1056"/>
      <c r="AQ809" s="1056"/>
      <c r="AR809" s="1056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</row>
    <row r="810" spans="1:86" s="53" customFormat="1" ht="21.75" customHeight="1" x14ac:dyDescent="0.2">
      <c r="A810" s="1394"/>
      <c r="B810" s="1409"/>
      <c r="C810" s="1411"/>
      <c r="D810" s="1416"/>
      <c r="E810" s="1418"/>
      <c r="F810" s="1416"/>
      <c r="G810" s="1418"/>
      <c r="H810" s="1056"/>
      <c r="I810" s="1056"/>
      <c r="J810" s="1056"/>
      <c r="K810" s="1056"/>
      <c r="L810" s="1056"/>
      <c r="M810" s="1056"/>
      <c r="N810" s="1056"/>
      <c r="O810" s="1056"/>
      <c r="P810" s="1056"/>
      <c r="Q810" s="1056"/>
      <c r="R810" s="1056"/>
      <c r="S810" s="296"/>
      <c r="T810" s="294"/>
      <c r="U810" s="294"/>
      <c r="V810" s="294"/>
      <c r="W810" s="84"/>
      <c r="X810" s="85"/>
      <c r="Y810" s="295"/>
      <c r="Z810" s="1056"/>
      <c r="AA810" s="1056"/>
      <c r="AB810" s="1056"/>
      <c r="AC810" s="1056"/>
      <c r="AD810" s="1056"/>
      <c r="AE810" s="296"/>
      <c r="AF810" s="1268"/>
      <c r="AG810" s="1268"/>
      <c r="AH810" s="1268"/>
      <c r="AI810" s="1139">
        <v>1425.6</v>
      </c>
      <c r="AJ810" s="883" t="s">
        <v>3</v>
      </c>
      <c r="AK810" s="2451"/>
      <c r="AL810" s="1056"/>
      <c r="AM810" s="1056"/>
      <c r="AN810" s="1056"/>
      <c r="AO810" s="153"/>
      <c r="AP810" s="153"/>
      <c r="AQ810" s="155"/>
      <c r="AR810" s="1056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</row>
    <row r="811" spans="1:86" s="53" customFormat="1" ht="25.5" customHeight="1" x14ac:dyDescent="0.2">
      <c r="A811" s="1393">
        <v>8</v>
      </c>
      <c r="B811" s="1685">
        <v>2241874</v>
      </c>
      <c r="C811" s="1435" t="s">
        <v>482</v>
      </c>
      <c r="D811" s="1415">
        <f>0.954+0.244</f>
        <v>1.198</v>
      </c>
      <c r="E811" s="1417">
        <v>8645.6</v>
      </c>
      <c r="F811" s="1415">
        <f>0.954+0.244</f>
        <v>1.198</v>
      </c>
      <c r="G811" s="1417">
        <v>8645.6</v>
      </c>
      <c r="H811" s="1056"/>
      <c r="I811" s="1056"/>
      <c r="J811" s="1056"/>
      <c r="K811" s="1056"/>
      <c r="L811" s="1056"/>
      <c r="M811" s="1056"/>
      <c r="N811" s="1056"/>
      <c r="O811" s="1056"/>
      <c r="P811" s="1056"/>
      <c r="Q811" s="1056"/>
      <c r="R811" s="1056"/>
      <c r="S811" s="296"/>
      <c r="T811" s="294"/>
      <c r="U811" s="294"/>
      <c r="V811" s="294"/>
      <c r="W811" s="84"/>
      <c r="X811" s="85"/>
      <c r="Y811" s="295"/>
      <c r="Z811" s="1302" t="s">
        <v>1499</v>
      </c>
      <c r="AA811" s="1302" t="s">
        <v>1559</v>
      </c>
      <c r="AB811" s="1302" t="s">
        <v>5</v>
      </c>
      <c r="AC811" s="1116">
        <v>1.214</v>
      </c>
      <c r="AD811" s="1051" t="s">
        <v>2</v>
      </c>
      <c r="AE811" s="2452">
        <v>5514.4066999999995</v>
      </c>
      <c r="AF811" s="45"/>
      <c r="AG811" s="45"/>
      <c r="AH811" s="45"/>
      <c r="AI811" s="1051"/>
      <c r="AJ811" s="1051"/>
      <c r="AK811" s="504"/>
      <c r="AL811" s="45"/>
      <c r="AM811" s="45"/>
      <c r="AN811" s="45"/>
      <c r="AO811" s="1051"/>
      <c r="AP811" s="1051"/>
      <c r="AQ811" s="504"/>
      <c r="AR811" s="29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</row>
    <row r="812" spans="1:86" s="53" customFormat="1" ht="25.5" customHeight="1" x14ac:dyDescent="0.2">
      <c r="A812" s="1394"/>
      <c r="B812" s="1409"/>
      <c r="C812" s="1411"/>
      <c r="D812" s="1416"/>
      <c r="E812" s="1418"/>
      <c r="F812" s="1416"/>
      <c r="G812" s="1418"/>
      <c r="H812" s="1056"/>
      <c r="I812" s="1056"/>
      <c r="J812" s="1056"/>
      <c r="K812" s="1056"/>
      <c r="L812" s="1056"/>
      <c r="M812" s="1056"/>
      <c r="N812" s="1056"/>
      <c r="O812" s="1056"/>
      <c r="P812" s="1056"/>
      <c r="Q812" s="1056"/>
      <c r="R812" s="1056"/>
      <c r="S812" s="296"/>
      <c r="T812" s="294"/>
      <c r="U812" s="294"/>
      <c r="V812" s="294"/>
      <c r="W812" s="84"/>
      <c r="X812" s="85"/>
      <c r="Y812" s="295"/>
      <c r="Z812" s="1293"/>
      <c r="AA812" s="1293"/>
      <c r="AB812" s="1293"/>
      <c r="AC812" s="1155">
        <v>8645.6</v>
      </c>
      <c r="AD812" s="959" t="s">
        <v>3</v>
      </c>
      <c r="AE812" s="2453"/>
      <c r="AF812" s="45"/>
      <c r="AG812" s="45"/>
      <c r="AH812" s="45"/>
      <c r="AI812" s="43"/>
      <c r="AJ812" s="1051"/>
      <c r="AK812" s="504"/>
      <c r="AL812" s="45"/>
      <c r="AM812" s="45"/>
      <c r="AN812" s="45"/>
      <c r="AO812" s="43"/>
      <c r="AP812" s="1051"/>
      <c r="AQ812" s="504"/>
      <c r="AR812" s="29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</row>
    <row r="813" spans="1:86" s="53" customFormat="1" ht="21.75" hidden="1" customHeight="1" x14ac:dyDescent="0.2">
      <c r="A813" s="1026"/>
      <c r="B813" s="86"/>
      <c r="C813" s="34"/>
      <c r="D813" s="711"/>
      <c r="E813" s="712"/>
      <c r="F813" s="711"/>
      <c r="G813" s="712"/>
      <c r="H813" s="1056"/>
      <c r="I813" s="1056"/>
      <c r="J813" s="1056"/>
      <c r="K813" s="1056"/>
      <c r="L813" s="1056"/>
      <c r="M813" s="1056"/>
      <c r="N813" s="1056"/>
      <c r="O813" s="1056"/>
      <c r="P813" s="1056"/>
      <c r="Q813" s="1056"/>
      <c r="R813" s="1056"/>
      <c r="S813" s="296"/>
      <c r="T813" s="294"/>
      <c r="U813" s="294"/>
      <c r="V813" s="294"/>
      <c r="W813" s="84"/>
      <c r="X813" s="85"/>
      <c r="Y813" s="295"/>
      <c r="Z813" s="1056"/>
      <c r="AA813" s="1056"/>
      <c r="AB813" s="1056"/>
      <c r="AC813" s="1056"/>
      <c r="AD813" s="1056"/>
      <c r="AE813" s="296"/>
      <c r="AF813" s="1056"/>
      <c r="AG813" s="1056"/>
      <c r="AH813" s="1056"/>
      <c r="AI813" s="1056"/>
      <c r="AJ813" s="1056"/>
      <c r="AK813" s="1056"/>
      <c r="AL813" s="1279" t="s">
        <v>687</v>
      </c>
      <c r="AM813" s="1279" t="s">
        <v>688</v>
      </c>
      <c r="AN813" s="1279" t="s">
        <v>5</v>
      </c>
      <c r="AO813" s="42"/>
      <c r="AP813" s="883" t="s">
        <v>2</v>
      </c>
      <c r="AQ813" s="1735">
        <f>AO813*8000</f>
        <v>0</v>
      </c>
      <c r="AR813" s="29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</row>
    <row r="814" spans="1:86" s="53" customFormat="1" ht="21.75" hidden="1" customHeight="1" x14ac:dyDescent="0.2">
      <c r="A814" s="1026"/>
      <c r="B814" s="86"/>
      <c r="C814" s="34"/>
      <c r="D814" s="713"/>
      <c r="E814" s="712"/>
      <c r="F814" s="711"/>
      <c r="G814" s="712"/>
      <c r="H814" s="1056"/>
      <c r="I814" s="1056"/>
      <c r="J814" s="1056"/>
      <c r="K814" s="1056"/>
      <c r="L814" s="1056"/>
      <c r="M814" s="1056"/>
      <c r="N814" s="1056"/>
      <c r="O814" s="1056"/>
      <c r="P814" s="1056"/>
      <c r="Q814" s="1056"/>
      <c r="R814" s="1056"/>
      <c r="S814" s="296"/>
      <c r="T814" s="294"/>
      <c r="U814" s="294"/>
      <c r="V814" s="294"/>
      <c r="W814" s="84"/>
      <c r="X814" s="85"/>
      <c r="Y814" s="295"/>
      <c r="Z814" s="1056"/>
      <c r="AA814" s="1056"/>
      <c r="AB814" s="1056"/>
      <c r="AC814" s="1056"/>
      <c r="AD814" s="1056"/>
      <c r="AE814" s="296"/>
      <c r="AF814" s="1056"/>
      <c r="AG814" s="1056"/>
      <c r="AH814" s="1056"/>
      <c r="AI814" s="1056"/>
      <c r="AJ814" s="1056"/>
      <c r="AK814" s="1056"/>
      <c r="AL814" s="1268"/>
      <c r="AM814" s="1268"/>
      <c r="AN814" s="1268"/>
      <c r="AO814" s="41"/>
      <c r="AP814" s="883" t="s">
        <v>3</v>
      </c>
      <c r="AQ814" s="1736"/>
      <c r="AR814" s="29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</row>
    <row r="815" spans="1:86" s="53" customFormat="1" ht="25.5" customHeight="1" x14ac:dyDescent="0.2">
      <c r="A815" s="1393">
        <v>9</v>
      </c>
      <c r="B815" s="1685">
        <v>2245038</v>
      </c>
      <c r="C815" s="1837" t="s">
        <v>479</v>
      </c>
      <c r="D815" s="1415">
        <v>0.36399999999999999</v>
      </c>
      <c r="E815" s="1417">
        <v>2366</v>
      </c>
      <c r="F815" s="1415">
        <v>0.36399999999999999</v>
      </c>
      <c r="G815" s="1417">
        <v>2366</v>
      </c>
      <c r="H815" s="1056"/>
      <c r="I815" s="1056"/>
      <c r="J815" s="1056"/>
      <c r="K815" s="1056"/>
      <c r="L815" s="1056"/>
      <c r="M815" s="1056"/>
      <c r="N815" s="1056"/>
      <c r="O815" s="1056"/>
      <c r="P815" s="1056"/>
      <c r="Q815" s="1056"/>
      <c r="R815" s="1056"/>
      <c r="S815" s="296"/>
      <c r="T815" s="294"/>
      <c r="U815" s="294"/>
      <c r="V815" s="294"/>
      <c r="W815" s="84"/>
      <c r="X815" s="85"/>
      <c r="Y815" s="295"/>
      <c r="Z815" s="1056"/>
      <c r="AA815" s="1056"/>
      <c r="AB815" s="1056"/>
      <c r="AC815" s="1056"/>
      <c r="AD815" s="1056"/>
      <c r="AE815" s="296"/>
      <c r="AF815" s="45"/>
      <c r="AG815" s="45"/>
      <c r="AH815" s="45"/>
      <c r="AI815" s="800"/>
      <c r="AJ815" s="1051"/>
      <c r="AK815" s="504"/>
      <c r="AL815" s="1302" t="s">
        <v>441</v>
      </c>
      <c r="AM815" s="1302" t="s">
        <v>483</v>
      </c>
      <c r="AN815" s="1302" t="s">
        <v>5</v>
      </c>
      <c r="AO815" s="800">
        <v>0.36399999999999999</v>
      </c>
      <c r="AP815" s="1051" t="s">
        <v>2</v>
      </c>
      <c r="AQ815" s="1735">
        <v>4443</v>
      </c>
      <c r="AR815" s="29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</row>
    <row r="816" spans="1:86" s="53" customFormat="1" ht="25.5" customHeight="1" x14ac:dyDescent="0.2">
      <c r="A816" s="1394"/>
      <c r="B816" s="1409"/>
      <c r="C816" s="1838"/>
      <c r="D816" s="1416"/>
      <c r="E816" s="1418"/>
      <c r="F816" s="1416"/>
      <c r="G816" s="1418"/>
      <c r="H816" s="1056"/>
      <c r="I816" s="1056"/>
      <c r="J816" s="1056"/>
      <c r="K816" s="1056"/>
      <c r="L816" s="1056"/>
      <c r="M816" s="1056"/>
      <c r="N816" s="1056"/>
      <c r="O816" s="1056"/>
      <c r="P816" s="1056"/>
      <c r="Q816" s="1056"/>
      <c r="R816" s="1056"/>
      <c r="S816" s="296"/>
      <c r="T816" s="294"/>
      <c r="U816" s="294"/>
      <c r="V816" s="294"/>
      <c r="W816" s="84"/>
      <c r="X816" s="85"/>
      <c r="Y816" s="295"/>
      <c r="Z816" s="1056"/>
      <c r="AA816" s="1056"/>
      <c r="AB816" s="1056"/>
      <c r="AC816" s="1056"/>
      <c r="AD816" s="1056"/>
      <c r="AE816" s="296"/>
      <c r="AF816" s="45"/>
      <c r="AG816" s="45"/>
      <c r="AH816" s="45"/>
      <c r="AI816" s="1051"/>
      <c r="AJ816" s="1051"/>
      <c r="AK816" s="504"/>
      <c r="AL816" s="1293"/>
      <c r="AM816" s="1293"/>
      <c r="AN816" s="1293"/>
      <c r="AO816" s="959">
        <v>2366</v>
      </c>
      <c r="AP816" s="959" t="s">
        <v>3</v>
      </c>
      <c r="AQ816" s="1736"/>
      <c r="AR816" s="29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</row>
    <row r="817" spans="1:86" s="53" customFormat="1" ht="21.75" customHeight="1" x14ac:dyDescent="0.2">
      <c r="A817" s="1393">
        <v>10</v>
      </c>
      <c r="B817" s="1685">
        <v>2238673</v>
      </c>
      <c r="C817" s="1435" t="s">
        <v>83</v>
      </c>
      <c r="D817" s="1415">
        <v>0.89300000000000002</v>
      </c>
      <c r="E817" s="1417">
        <v>3572</v>
      </c>
      <c r="F817" s="1415">
        <v>0.89300000000000002</v>
      </c>
      <c r="G817" s="1417">
        <v>3572</v>
      </c>
      <c r="H817" s="1056"/>
      <c r="I817" s="1056"/>
      <c r="J817" s="1056"/>
      <c r="K817" s="1056"/>
      <c r="L817" s="1056"/>
      <c r="M817" s="1056"/>
      <c r="N817" s="1056"/>
      <c r="O817" s="1056"/>
      <c r="P817" s="1056"/>
      <c r="Q817" s="1056"/>
      <c r="R817" s="1056"/>
      <c r="S817" s="296"/>
      <c r="T817" s="294"/>
      <c r="U817" s="294"/>
      <c r="V817" s="294"/>
      <c r="W817" s="84"/>
      <c r="X817" s="85"/>
      <c r="Y817" s="295"/>
      <c r="Z817" s="1691" t="s">
        <v>441</v>
      </c>
      <c r="AA817" s="1691" t="s">
        <v>477</v>
      </c>
      <c r="AB817" s="1737" t="s">
        <v>5</v>
      </c>
      <c r="AC817" s="1152">
        <v>0.89300000000000002</v>
      </c>
      <c r="AD817" s="935" t="s">
        <v>2</v>
      </c>
      <c r="AE817" s="2452">
        <v>5954.1131599999999</v>
      </c>
      <c r="AF817" s="268"/>
      <c r="AG817" s="268"/>
      <c r="AH817" s="269"/>
      <c r="AI817" s="800"/>
      <c r="AJ817" s="935"/>
      <c r="AK817" s="504"/>
      <c r="AL817" s="268"/>
      <c r="AM817" s="268"/>
      <c r="AN817" s="269"/>
      <c r="AO817" s="800"/>
      <c r="AP817" s="935"/>
      <c r="AQ817" s="504"/>
      <c r="AR817" s="29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</row>
    <row r="818" spans="1:86" s="53" customFormat="1" ht="21.75" customHeight="1" x14ac:dyDescent="0.2">
      <c r="A818" s="1394"/>
      <c r="B818" s="1409"/>
      <c r="C818" s="1411"/>
      <c r="D818" s="1416"/>
      <c r="E818" s="1418"/>
      <c r="F818" s="1416"/>
      <c r="G818" s="1418"/>
      <c r="H818" s="1056"/>
      <c r="I818" s="1056"/>
      <c r="J818" s="1056"/>
      <c r="K818" s="1056"/>
      <c r="L818" s="1056"/>
      <c r="M818" s="1056"/>
      <c r="N818" s="1056"/>
      <c r="O818" s="1056"/>
      <c r="P818" s="1056"/>
      <c r="Q818" s="1056"/>
      <c r="R818" s="1056"/>
      <c r="S818" s="296"/>
      <c r="T818" s="294"/>
      <c r="U818" s="294"/>
      <c r="V818" s="294"/>
      <c r="W818" s="84"/>
      <c r="X818" s="85"/>
      <c r="Y818" s="295"/>
      <c r="Z818" s="1692"/>
      <c r="AA818" s="1692"/>
      <c r="AB818" s="1738"/>
      <c r="AC818" s="918">
        <v>3572</v>
      </c>
      <c r="AD818" s="935" t="s">
        <v>3</v>
      </c>
      <c r="AE818" s="2453"/>
      <c r="AF818" s="268"/>
      <c r="AG818" s="268"/>
      <c r="AH818" s="269"/>
      <c r="AI818" s="935"/>
      <c r="AJ818" s="935"/>
      <c r="AK818" s="504"/>
      <c r="AL818" s="268"/>
      <c r="AM818" s="268"/>
      <c r="AN818" s="269"/>
      <c r="AO818" s="935"/>
      <c r="AP818" s="935"/>
      <c r="AQ818" s="504"/>
      <c r="AR818" s="29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</row>
    <row r="819" spans="1:86" s="53" customFormat="1" ht="21.75" hidden="1" customHeight="1" x14ac:dyDescent="0.2">
      <c r="A819" s="1026"/>
      <c r="B819" s="1685">
        <v>2245692</v>
      </c>
      <c r="C819" s="1431" t="s">
        <v>84</v>
      </c>
      <c r="D819" s="1415">
        <v>0.54</v>
      </c>
      <c r="E819" s="1417">
        <v>2314.8000000000002</v>
      </c>
      <c r="F819" s="1415">
        <v>0.38700000000000001</v>
      </c>
      <c r="G819" s="1417">
        <v>1702.8</v>
      </c>
      <c r="H819" s="1056"/>
      <c r="I819" s="1056"/>
      <c r="J819" s="1056"/>
      <c r="K819" s="1056"/>
      <c r="L819" s="1056"/>
      <c r="M819" s="1056"/>
      <c r="N819" s="1056"/>
      <c r="O819" s="1056"/>
      <c r="P819" s="1056"/>
      <c r="Q819" s="1056"/>
      <c r="R819" s="1056"/>
      <c r="S819" s="296"/>
      <c r="T819" s="294"/>
      <c r="U819" s="294"/>
      <c r="V819" s="294"/>
      <c r="W819" s="84"/>
      <c r="X819" s="85"/>
      <c r="Y819" s="295"/>
      <c r="Z819" s="1056"/>
      <c r="AA819" s="1056"/>
      <c r="AB819" s="1056"/>
      <c r="AC819" s="1056"/>
      <c r="AD819" s="1056"/>
      <c r="AE819" s="296"/>
      <c r="AF819" s="1056"/>
      <c r="AG819" s="1056"/>
      <c r="AH819" s="1056"/>
      <c r="AI819" s="1056"/>
      <c r="AJ819" s="1056"/>
      <c r="AK819" s="1056"/>
      <c r="AL819" s="1664" t="s">
        <v>441</v>
      </c>
      <c r="AM819" s="1664" t="s">
        <v>1380</v>
      </c>
      <c r="AN819" s="1691" t="s">
        <v>5</v>
      </c>
      <c r="AO819" s="33"/>
      <c r="AP819" s="32" t="s">
        <v>2</v>
      </c>
      <c r="AQ819" s="1735">
        <f>AO819*8000</f>
        <v>0</v>
      </c>
      <c r="AR819" s="29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</row>
    <row r="820" spans="1:86" s="53" customFormat="1" ht="21.75" hidden="1" customHeight="1" x14ac:dyDescent="0.2">
      <c r="A820" s="1026"/>
      <c r="B820" s="1409"/>
      <c r="C820" s="1432"/>
      <c r="D820" s="1416"/>
      <c r="E820" s="1418"/>
      <c r="F820" s="1416"/>
      <c r="G820" s="1418"/>
      <c r="H820" s="1056"/>
      <c r="I820" s="1056"/>
      <c r="J820" s="1056"/>
      <c r="K820" s="1056"/>
      <c r="L820" s="1056"/>
      <c r="M820" s="1056"/>
      <c r="N820" s="1056"/>
      <c r="O820" s="1056"/>
      <c r="P820" s="1056"/>
      <c r="Q820" s="1056"/>
      <c r="R820" s="1056"/>
      <c r="S820" s="296"/>
      <c r="T820" s="294"/>
      <c r="U820" s="294"/>
      <c r="V820" s="294"/>
      <c r="W820" s="84"/>
      <c r="X820" s="85"/>
      <c r="Y820" s="295"/>
      <c r="Z820" s="1056"/>
      <c r="AA820" s="1056"/>
      <c r="AB820" s="1056"/>
      <c r="AC820" s="1056"/>
      <c r="AD820" s="1056"/>
      <c r="AE820" s="296"/>
      <c r="AF820" s="1056"/>
      <c r="AG820" s="1056"/>
      <c r="AH820" s="1056"/>
      <c r="AI820" s="1056"/>
      <c r="AJ820" s="1056"/>
      <c r="AK820" s="1056"/>
      <c r="AL820" s="1665"/>
      <c r="AM820" s="1665"/>
      <c r="AN820" s="1692"/>
      <c r="AO820" s="32"/>
      <c r="AP820" s="32" t="s">
        <v>3</v>
      </c>
      <c r="AQ820" s="1736"/>
      <c r="AR820" s="29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</row>
    <row r="821" spans="1:86" s="53" customFormat="1" ht="21.75" customHeight="1" x14ac:dyDescent="0.2">
      <c r="A821" s="1393">
        <v>11</v>
      </c>
      <c r="B821" s="1685">
        <v>3404390</v>
      </c>
      <c r="C821" s="1435" t="s">
        <v>484</v>
      </c>
      <c r="D821" s="1415">
        <v>5.2</v>
      </c>
      <c r="E821" s="1417">
        <v>30680</v>
      </c>
      <c r="F821" s="1415">
        <v>0.79</v>
      </c>
      <c r="G821" s="1417">
        <v>3946.6</v>
      </c>
      <c r="H821" s="1056"/>
      <c r="I821" s="1056"/>
      <c r="J821" s="1056"/>
      <c r="K821" s="1056"/>
      <c r="L821" s="1056"/>
      <c r="M821" s="1056"/>
      <c r="N821" s="1056"/>
      <c r="O821" s="1056"/>
      <c r="P821" s="1056"/>
      <c r="Q821" s="1056"/>
      <c r="R821" s="1056"/>
      <c r="S821" s="296"/>
      <c r="T821" s="294"/>
      <c r="U821" s="294"/>
      <c r="V821" s="294"/>
      <c r="W821" s="84"/>
      <c r="X821" s="85"/>
      <c r="Y821" s="295"/>
      <c r="Z821" s="1691" t="s">
        <v>441</v>
      </c>
      <c r="AA821" s="1691" t="s">
        <v>478</v>
      </c>
      <c r="AB821" s="1737" t="s">
        <v>5</v>
      </c>
      <c r="AC821" s="1153">
        <v>0.79</v>
      </c>
      <c r="AD821" s="1019" t="s">
        <v>2</v>
      </c>
      <c r="AE821" s="2452">
        <v>5274.0242200000002</v>
      </c>
      <c r="AF821" s="268"/>
      <c r="AG821" s="268"/>
      <c r="AH821" s="269"/>
      <c r="AI821" s="800"/>
      <c r="AJ821" s="935"/>
      <c r="AK821" s="504"/>
      <c r="AL821" s="268"/>
      <c r="AM821" s="268"/>
      <c r="AN821" s="269"/>
      <c r="AO821" s="800"/>
      <c r="AP821" s="935"/>
      <c r="AQ821" s="504"/>
      <c r="AR821" s="29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</row>
    <row r="822" spans="1:86" s="53" customFormat="1" ht="21.75" customHeight="1" x14ac:dyDescent="0.2">
      <c r="A822" s="1394"/>
      <c r="B822" s="1409"/>
      <c r="C822" s="1411"/>
      <c r="D822" s="1416"/>
      <c r="E822" s="1418"/>
      <c r="F822" s="1416"/>
      <c r="G822" s="1418"/>
      <c r="H822" s="1056"/>
      <c r="I822" s="1056"/>
      <c r="J822" s="1056"/>
      <c r="K822" s="1056"/>
      <c r="L822" s="1056"/>
      <c r="M822" s="1056"/>
      <c r="N822" s="1056"/>
      <c r="O822" s="1056"/>
      <c r="P822" s="1056"/>
      <c r="Q822" s="1056"/>
      <c r="R822" s="1056"/>
      <c r="S822" s="296"/>
      <c r="T822" s="294"/>
      <c r="U822" s="294"/>
      <c r="V822" s="294"/>
      <c r="W822" s="84"/>
      <c r="X822" s="85"/>
      <c r="Y822" s="295"/>
      <c r="Z822" s="1692"/>
      <c r="AA822" s="1692"/>
      <c r="AB822" s="1738"/>
      <c r="AC822" s="918">
        <v>3946.6</v>
      </c>
      <c r="AD822" s="935" t="s">
        <v>3</v>
      </c>
      <c r="AE822" s="2453"/>
      <c r="AF822" s="268"/>
      <c r="AG822" s="268"/>
      <c r="AH822" s="269"/>
      <c r="AI822" s="935"/>
      <c r="AJ822" s="935"/>
      <c r="AK822" s="504"/>
      <c r="AL822" s="268"/>
      <c r="AM822" s="268"/>
      <c r="AN822" s="269"/>
      <c r="AO822" s="935"/>
      <c r="AP822" s="935"/>
      <c r="AQ822" s="504"/>
      <c r="AR822" s="29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</row>
    <row r="823" spans="1:86" s="53" customFormat="1" ht="21.75" customHeight="1" x14ac:dyDescent="0.2">
      <c r="A823" s="1393">
        <v>12</v>
      </c>
      <c r="B823" s="1685">
        <v>2243483</v>
      </c>
      <c r="C823" s="1837" t="s">
        <v>85</v>
      </c>
      <c r="D823" s="1415">
        <v>0.64700000000000002</v>
      </c>
      <c r="E823" s="1417">
        <v>2608.8000000000002</v>
      </c>
      <c r="F823" s="1415">
        <v>0.52500000000000002</v>
      </c>
      <c r="G823" s="1417">
        <v>2100</v>
      </c>
      <c r="H823" s="1056"/>
      <c r="I823" s="1056"/>
      <c r="J823" s="1056"/>
      <c r="K823" s="1056"/>
      <c r="L823" s="1056"/>
      <c r="M823" s="1056"/>
      <c r="N823" s="1056"/>
      <c r="O823" s="1056"/>
      <c r="P823" s="1056"/>
      <c r="Q823" s="1056"/>
      <c r="R823" s="1056"/>
      <c r="S823" s="296"/>
      <c r="T823" s="294"/>
      <c r="U823" s="294"/>
      <c r="V823" s="294"/>
      <c r="W823" s="84"/>
      <c r="X823" s="85"/>
      <c r="Y823" s="295"/>
      <c r="Z823" s="1056"/>
      <c r="AA823" s="1056"/>
      <c r="AB823" s="1056"/>
      <c r="AC823" s="1056"/>
      <c r="AD823" s="1056"/>
      <c r="AE823" s="296"/>
      <c r="AF823" s="174"/>
      <c r="AG823" s="174"/>
      <c r="AH823" s="174"/>
      <c r="AI823" s="42"/>
      <c r="AJ823" s="883"/>
      <c r="AK823" s="504"/>
      <c r="AL823" s="1279" t="s">
        <v>441</v>
      </c>
      <c r="AM823" s="1279" t="s">
        <v>689</v>
      </c>
      <c r="AN823" s="1279" t="s">
        <v>5</v>
      </c>
      <c r="AO823" s="42">
        <v>0.52500000000000002</v>
      </c>
      <c r="AP823" s="883" t="s">
        <v>2</v>
      </c>
      <c r="AQ823" s="1735">
        <v>7805</v>
      </c>
      <c r="AR823" s="29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</row>
    <row r="824" spans="1:86" s="53" customFormat="1" ht="21.75" customHeight="1" x14ac:dyDescent="0.2">
      <c r="A824" s="1394"/>
      <c r="B824" s="1409"/>
      <c r="C824" s="1838"/>
      <c r="D824" s="1416"/>
      <c r="E824" s="1418"/>
      <c r="F824" s="1416"/>
      <c r="G824" s="1418"/>
      <c r="H824" s="1056"/>
      <c r="I824" s="1056"/>
      <c r="J824" s="1056"/>
      <c r="K824" s="1056"/>
      <c r="L824" s="1056"/>
      <c r="M824" s="1056"/>
      <c r="N824" s="1056"/>
      <c r="O824" s="1056"/>
      <c r="P824" s="1056"/>
      <c r="Q824" s="1056"/>
      <c r="R824" s="1056"/>
      <c r="S824" s="296"/>
      <c r="T824" s="294"/>
      <c r="U824" s="294"/>
      <c r="V824" s="294"/>
      <c r="W824" s="84"/>
      <c r="X824" s="85"/>
      <c r="Y824" s="295"/>
      <c r="Z824" s="1056"/>
      <c r="AA824" s="1056"/>
      <c r="AB824" s="1056"/>
      <c r="AC824" s="1056"/>
      <c r="AD824" s="1056"/>
      <c r="AE824" s="296"/>
      <c r="AF824" s="174"/>
      <c r="AG824" s="174"/>
      <c r="AH824" s="174"/>
      <c r="AI824" s="926"/>
      <c r="AJ824" s="883"/>
      <c r="AK824" s="504"/>
      <c r="AL824" s="1268"/>
      <c r="AM824" s="1268"/>
      <c r="AN824" s="1268"/>
      <c r="AO824" s="926">
        <v>2100</v>
      </c>
      <c r="AP824" s="883" t="s">
        <v>3</v>
      </c>
      <c r="AQ824" s="1736"/>
      <c r="AR824" s="29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</row>
    <row r="825" spans="1:86" s="53" customFormat="1" ht="21.75" customHeight="1" x14ac:dyDescent="0.2">
      <c r="A825" s="1393">
        <v>13</v>
      </c>
      <c r="B825" s="1685">
        <v>2243475</v>
      </c>
      <c r="C825" s="1435" t="s">
        <v>86</v>
      </c>
      <c r="D825" s="1415">
        <v>1.03</v>
      </c>
      <c r="E825" s="1417">
        <v>8089.6</v>
      </c>
      <c r="F825" s="1415">
        <v>1.03</v>
      </c>
      <c r="G825" s="1417">
        <v>8089.6</v>
      </c>
      <c r="H825" s="1056"/>
      <c r="I825" s="1056"/>
      <c r="J825" s="1056"/>
      <c r="K825" s="1056"/>
      <c r="L825" s="1056"/>
      <c r="M825" s="1056"/>
      <c r="N825" s="1056"/>
      <c r="O825" s="1056"/>
      <c r="P825" s="1056"/>
      <c r="Q825" s="1056"/>
      <c r="R825" s="1056"/>
      <c r="S825" s="296"/>
      <c r="T825" s="294"/>
      <c r="U825" s="294"/>
      <c r="V825" s="294"/>
      <c r="W825" s="84"/>
      <c r="X825" s="85"/>
      <c r="Y825" s="295"/>
      <c r="Z825" s="1056"/>
      <c r="AA825" s="1056"/>
      <c r="AB825" s="1056"/>
      <c r="AC825" s="1056"/>
      <c r="AD825" s="1056"/>
      <c r="AE825" s="296"/>
      <c r="AF825" s="1691" t="s">
        <v>441</v>
      </c>
      <c r="AG825" s="1691" t="s">
        <v>485</v>
      </c>
      <c r="AH825" s="1737" t="s">
        <v>5</v>
      </c>
      <c r="AI825" s="975">
        <v>1.03</v>
      </c>
      <c r="AJ825" s="935" t="s">
        <v>2</v>
      </c>
      <c r="AK825" s="2454">
        <v>12368</v>
      </c>
      <c r="AL825" s="268"/>
      <c r="AM825" s="268"/>
      <c r="AN825" s="269"/>
      <c r="AO825" s="800"/>
      <c r="AP825" s="935"/>
      <c r="AQ825" s="504"/>
      <c r="AR825" s="29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</row>
    <row r="826" spans="1:86" s="53" customFormat="1" ht="21.75" customHeight="1" x14ac:dyDescent="0.2">
      <c r="A826" s="1394"/>
      <c r="B826" s="1409"/>
      <c r="C826" s="1411"/>
      <c r="D826" s="1416"/>
      <c r="E826" s="1418"/>
      <c r="F826" s="1416"/>
      <c r="G826" s="1418"/>
      <c r="H826" s="1056"/>
      <c r="I826" s="1056"/>
      <c r="J826" s="1056"/>
      <c r="K826" s="1056"/>
      <c r="L826" s="1056"/>
      <c r="M826" s="1056"/>
      <c r="N826" s="1056"/>
      <c r="O826" s="1056"/>
      <c r="P826" s="1056"/>
      <c r="Q826" s="1056"/>
      <c r="R826" s="1056"/>
      <c r="S826" s="296"/>
      <c r="T826" s="294"/>
      <c r="U826" s="294"/>
      <c r="V826" s="294"/>
      <c r="W826" s="84"/>
      <c r="X826" s="85"/>
      <c r="Y826" s="295"/>
      <c r="Z826" s="1056"/>
      <c r="AA826" s="1056"/>
      <c r="AB826" s="1056"/>
      <c r="AC826" s="1056"/>
      <c r="AD826" s="1056"/>
      <c r="AE826" s="296"/>
      <c r="AF826" s="1692"/>
      <c r="AG826" s="1692"/>
      <c r="AH826" s="1738"/>
      <c r="AI826" s="928">
        <v>8089.6</v>
      </c>
      <c r="AJ826" s="935" t="s">
        <v>3</v>
      </c>
      <c r="AK826" s="2455"/>
      <c r="AL826" s="268"/>
      <c r="AM826" s="268"/>
      <c r="AN826" s="269"/>
      <c r="AO826" s="935"/>
      <c r="AP826" s="935"/>
      <c r="AQ826" s="504"/>
      <c r="AR826" s="29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</row>
    <row r="827" spans="1:86" s="53" customFormat="1" ht="21.75" customHeight="1" x14ac:dyDescent="0.2">
      <c r="A827" s="1393">
        <v>14</v>
      </c>
      <c r="B827" s="1685">
        <v>2243020</v>
      </c>
      <c r="C827" s="1435" t="s">
        <v>486</v>
      </c>
      <c r="D827" s="1415">
        <v>0.91</v>
      </c>
      <c r="E827" s="1417">
        <v>3915.5</v>
      </c>
      <c r="F827" s="1415">
        <v>0.8</v>
      </c>
      <c r="G827" s="1417">
        <v>3475.5</v>
      </c>
      <c r="H827" s="1056"/>
      <c r="I827" s="1056"/>
      <c r="J827" s="1056"/>
      <c r="K827" s="1056"/>
      <c r="L827" s="1056"/>
      <c r="M827" s="1056"/>
      <c r="N827" s="1056"/>
      <c r="O827" s="1056"/>
      <c r="P827" s="1056"/>
      <c r="Q827" s="1056"/>
      <c r="R827" s="1056"/>
      <c r="S827" s="296"/>
      <c r="T827" s="294"/>
      <c r="U827" s="294"/>
      <c r="V827" s="294"/>
      <c r="W827" s="84"/>
      <c r="X827" s="85"/>
      <c r="Y827" s="295"/>
      <c r="Z827" s="1056"/>
      <c r="AA827" s="1056"/>
      <c r="AB827" s="1056"/>
      <c r="AC827" s="1056"/>
      <c r="AD827" s="1056"/>
      <c r="AE827" s="296"/>
      <c r="AF827" s="1302" t="s">
        <v>441</v>
      </c>
      <c r="AG827" s="1302" t="s">
        <v>402</v>
      </c>
      <c r="AH827" s="1302" t="s">
        <v>5</v>
      </c>
      <c r="AI827" s="975">
        <v>0.8</v>
      </c>
      <c r="AJ827" s="1051" t="s">
        <v>2</v>
      </c>
      <c r="AK827" s="2454">
        <v>10927</v>
      </c>
      <c r="AL827" s="45"/>
      <c r="AM827" s="45"/>
      <c r="AN827" s="45"/>
      <c r="AO827" s="800"/>
      <c r="AP827" s="1051"/>
      <c r="AQ827" s="504"/>
      <c r="AR827" s="29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</row>
    <row r="828" spans="1:86" s="53" customFormat="1" ht="21.75" customHeight="1" x14ac:dyDescent="0.2">
      <c r="A828" s="1394"/>
      <c r="B828" s="1409"/>
      <c r="C828" s="1411"/>
      <c r="D828" s="1416"/>
      <c r="E828" s="1418"/>
      <c r="F828" s="1416"/>
      <c r="G828" s="1418"/>
      <c r="H828" s="1056"/>
      <c r="I828" s="1056"/>
      <c r="J828" s="1056"/>
      <c r="K828" s="1056"/>
      <c r="L828" s="1056"/>
      <c r="M828" s="1056"/>
      <c r="N828" s="1056"/>
      <c r="O828" s="1056"/>
      <c r="P828" s="1056"/>
      <c r="Q828" s="1056"/>
      <c r="R828" s="1056"/>
      <c r="S828" s="296"/>
      <c r="T828" s="294"/>
      <c r="U828" s="294"/>
      <c r="V828" s="294"/>
      <c r="W828" s="84"/>
      <c r="X828" s="85"/>
      <c r="Y828" s="295"/>
      <c r="Z828" s="1056"/>
      <c r="AA828" s="1056"/>
      <c r="AB828" s="1056"/>
      <c r="AC828" s="1056"/>
      <c r="AD828" s="1056"/>
      <c r="AE828" s="296"/>
      <c r="AF828" s="1293"/>
      <c r="AG828" s="1293"/>
      <c r="AH828" s="1293"/>
      <c r="AI828" s="911">
        <v>3475.5</v>
      </c>
      <c r="AJ828" s="959" t="s">
        <v>3</v>
      </c>
      <c r="AK828" s="2455"/>
      <c r="AL828" s="45"/>
      <c r="AM828" s="45"/>
      <c r="AN828" s="45"/>
      <c r="AO828" s="1051"/>
      <c r="AP828" s="1051"/>
      <c r="AQ828" s="504"/>
      <c r="AR828" s="29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</row>
    <row r="829" spans="1:86" s="53" customFormat="1" ht="21.75" customHeight="1" x14ac:dyDescent="0.2">
      <c r="A829" s="1393">
        <v>15</v>
      </c>
      <c r="B829" s="1685">
        <v>2246385</v>
      </c>
      <c r="C829" s="1435" t="s">
        <v>487</v>
      </c>
      <c r="D829" s="1415">
        <v>0.48</v>
      </c>
      <c r="E829" s="1417">
        <v>2112</v>
      </c>
      <c r="F829" s="1415">
        <v>0.48</v>
      </c>
      <c r="G829" s="1417">
        <v>2112</v>
      </c>
      <c r="H829" s="1056"/>
      <c r="I829" s="1056"/>
      <c r="J829" s="1056"/>
      <c r="K829" s="1056"/>
      <c r="L829" s="1056"/>
      <c r="M829" s="1056"/>
      <c r="N829" s="1056"/>
      <c r="O829" s="1056"/>
      <c r="P829" s="1056"/>
      <c r="Q829" s="1056"/>
      <c r="R829" s="1056"/>
      <c r="S829" s="296"/>
      <c r="T829" s="294"/>
      <c r="U829" s="294"/>
      <c r="V829" s="294"/>
      <c r="W829" s="84"/>
      <c r="X829" s="85"/>
      <c r="Y829" s="295"/>
      <c r="Z829" s="1302" t="s">
        <v>441</v>
      </c>
      <c r="AA829" s="1302" t="s">
        <v>489</v>
      </c>
      <c r="AB829" s="1302" t="s">
        <v>5</v>
      </c>
      <c r="AC829" s="1152">
        <v>0.48</v>
      </c>
      <c r="AD829" s="1051" t="s">
        <v>2</v>
      </c>
      <c r="AE829" s="2452">
        <v>2806.2255</v>
      </c>
      <c r="AF829" s="45"/>
      <c r="AG829" s="45"/>
      <c r="AH829" s="45"/>
      <c r="AI829" s="800"/>
      <c r="AJ829" s="1051"/>
      <c r="AK829" s="504"/>
      <c r="AL829" s="45"/>
      <c r="AM829" s="45"/>
      <c r="AN829" s="45"/>
      <c r="AO829" s="800"/>
      <c r="AP829" s="1051"/>
      <c r="AQ829" s="504"/>
      <c r="AR829" s="29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</row>
    <row r="830" spans="1:86" s="53" customFormat="1" ht="21.75" customHeight="1" x14ac:dyDescent="0.2">
      <c r="A830" s="1394"/>
      <c r="B830" s="1409"/>
      <c r="C830" s="1411"/>
      <c r="D830" s="1416"/>
      <c r="E830" s="1418"/>
      <c r="F830" s="1416"/>
      <c r="G830" s="1418"/>
      <c r="H830" s="1056"/>
      <c r="I830" s="1056"/>
      <c r="J830" s="1056"/>
      <c r="K830" s="1056"/>
      <c r="L830" s="1056"/>
      <c r="M830" s="1056"/>
      <c r="N830" s="1056"/>
      <c r="O830" s="1056"/>
      <c r="P830" s="1056"/>
      <c r="Q830" s="1056"/>
      <c r="R830" s="1056"/>
      <c r="S830" s="296"/>
      <c r="T830" s="294"/>
      <c r="U830" s="294"/>
      <c r="V830" s="294"/>
      <c r="W830" s="84"/>
      <c r="X830" s="85"/>
      <c r="Y830" s="295"/>
      <c r="Z830" s="1293"/>
      <c r="AA830" s="1293"/>
      <c r="AB830" s="1293"/>
      <c r="AC830" s="1039">
        <v>2112</v>
      </c>
      <c r="AD830" s="959" t="s">
        <v>3</v>
      </c>
      <c r="AE830" s="2453"/>
      <c r="AF830" s="45"/>
      <c r="AG830" s="45"/>
      <c r="AH830" s="45"/>
      <c r="AI830" s="1051"/>
      <c r="AJ830" s="1051"/>
      <c r="AK830" s="504"/>
      <c r="AL830" s="45"/>
      <c r="AM830" s="45"/>
      <c r="AN830" s="45"/>
      <c r="AO830" s="1051"/>
      <c r="AP830" s="1051"/>
      <c r="AQ830" s="504"/>
      <c r="AR830" s="29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</row>
    <row r="831" spans="1:86" s="53" customFormat="1" ht="20.25" customHeight="1" x14ac:dyDescent="0.2">
      <c r="A831" s="1393">
        <v>16</v>
      </c>
      <c r="B831" s="1285">
        <v>3404398</v>
      </c>
      <c r="C831" s="1234" t="s">
        <v>961</v>
      </c>
      <c r="D831" s="1415">
        <v>2.5</v>
      </c>
      <c r="E831" s="1417">
        <f>D831*4000</f>
        <v>10000</v>
      </c>
      <c r="F831" s="1415">
        <v>1.08</v>
      </c>
      <c r="G831" s="1417">
        <f>F831*4000</f>
        <v>4320</v>
      </c>
      <c r="H831" s="703"/>
      <c r="I831" s="703"/>
      <c r="J831" s="703"/>
      <c r="K831" s="703"/>
      <c r="L831" s="703"/>
      <c r="M831" s="703"/>
      <c r="N831" s="703"/>
      <c r="O831" s="703"/>
      <c r="P831" s="703"/>
      <c r="Q831" s="703"/>
      <c r="R831" s="703"/>
      <c r="S831" s="704"/>
      <c r="T831" s="690"/>
      <c r="U831" s="690"/>
      <c r="V831" s="690"/>
      <c r="W831" s="84"/>
      <c r="X831" s="85"/>
      <c r="Y831" s="246"/>
      <c r="Z831" s="1051"/>
      <c r="AA831" s="1051"/>
      <c r="AB831" s="1051"/>
      <c r="AC831" s="1051"/>
      <c r="AD831" s="1051"/>
      <c r="AE831" s="2456"/>
      <c r="AF831" s="1302" t="s">
        <v>441</v>
      </c>
      <c r="AG831" s="1302" t="s">
        <v>1500</v>
      </c>
      <c r="AH831" s="1302" t="s">
        <v>5</v>
      </c>
      <c r="AI831" s="975">
        <v>1.08</v>
      </c>
      <c r="AJ831" s="1051" t="s">
        <v>2</v>
      </c>
      <c r="AK831" s="2454">
        <v>8689</v>
      </c>
      <c r="AL831" s="429"/>
      <c r="AM831" s="429"/>
      <c r="AN831" s="429"/>
      <c r="AO831" s="959"/>
      <c r="AP831" s="959"/>
      <c r="AQ831" s="705"/>
      <c r="AR831" s="29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</row>
    <row r="832" spans="1:86" s="53" customFormat="1" ht="20.25" customHeight="1" x14ac:dyDescent="0.2">
      <c r="A832" s="1394"/>
      <c r="B832" s="2078"/>
      <c r="C832" s="1428"/>
      <c r="D832" s="1427"/>
      <c r="E832" s="1426"/>
      <c r="F832" s="1427"/>
      <c r="G832" s="1426"/>
      <c r="H832" s="703"/>
      <c r="I832" s="703"/>
      <c r="J832" s="703"/>
      <c r="K832" s="703"/>
      <c r="L832" s="703"/>
      <c r="M832" s="703"/>
      <c r="N832" s="703"/>
      <c r="O832" s="703"/>
      <c r="P832" s="703"/>
      <c r="Q832" s="703"/>
      <c r="R832" s="703"/>
      <c r="S832" s="704"/>
      <c r="T832" s="690"/>
      <c r="U832" s="690"/>
      <c r="V832" s="690"/>
      <c r="W832" s="84"/>
      <c r="X832" s="85"/>
      <c r="Y832" s="246"/>
      <c r="Z832" s="958"/>
      <c r="AA832" s="958"/>
      <c r="AB832" s="958"/>
      <c r="AC832" s="958"/>
      <c r="AD832" s="958"/>
      <c r="AE832" s="1048"/>
      <c r="AF832" s="2076"/>
      <c r="AG832" s="2076"/>
      <c r="AH832" s="2076"/>
      <c r="AI832" s="1036">
        <f>AI831*4000</f>
        <v>4320</v>
      </c>
      <c r="AJ832" s="959" t="s">
        <v>3</v>
      </c>
      <c r="AK832" s="2455"/>
      <c r="AL832" s="429"/>
      <c r="AM832" s="429"/>
      <c r="AN832" s="429"/>
      <c r="AO832" s="959"/>
      <c r="AP832" s="959"/>
      <c r="AQ832" s="705"/>
      <c r="AR832" s="29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</row>
    <row r="833" spans="1:86" s="53" customFormat="1" ht="24" customHeight="1" x14ac:dyDescent="0.2">
      <c r="A833" s="1425">
        <v>17</v>
      </c>
      <c r="B833" s="1285">
        <v>3404399</v>
      </c>
      <c r="C833" s="1234" t="s">
        <v>960</v>
      </c>
      <c r="D833" s="1415">
        <v>2</v>
      </c>
      <c r="E833" s="1417">
        <f>D833*4000</f>
        <v>8000</v>
      </c>
      <c r="F833" s="1415">
        <v>0.97</v>
      </c>
      <c r="G833" s="1417">
        <f>F833*4000</f>
        <v>3880</v>
      </c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709"/>
      <c r="T833" s="690"/>
      <c r="U833" s="690"/>
      <c r="V833" s="690"/>
      <c r="W833" s="84"/>
      <c r="X833" s="85"/>
      <c r="Y833" s="246"/>
      <c r="Z833" s="1051"/>
      <c r="AA833" s="1051"/>
      <c r="AB833" s="1051"/>
      <c r="AC833" s="1051"/>
      <c r="AD833" s="1051"/>
      <c r="AE833" s="2456"/>
      <c r="AF833" s="2082" t="s">
        <v>441</v>
      </c>
      <c r="AG833" s="2082" t="s">
        <v>1501</v>
      </c>
      <c r="AH833" s="2082" t="s">
        <v>5</v>
      </c>
      <c r="AI833" s="975">
        <v>0.97</v>
      </c>
      <c r="AJ833" s="1051" t="s">
        <v>2</v>
      </c>
      <c r="AK833" s="2457">
        <v>16571</v>
      </c>
      <c r="AL833" s="429"/>
      <c r="AM833" s="429"/>
      <c r="AN833" s="429"/>
      <c r="AO833" s="959"/>
      <c r="AP833" s="959"/>
      <c r="AQ833" s="705"/>
      <c r="AR833" s="29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</row>
    <row r="834" spans="1:86" s="53" customFormat="1" ht="24" customHeight="1" x14ac:dyDescent="0.2">
      <c r="A834" s="1425"/>
      <c r="B834" s="1213"/>
      <c r="C834" s="1211"/>
      <c r="D834" s="1416"/>
      <c r="E834" s="1426"/>
      <c r="F834" s="1416"/>
      <c r="G834" s="1426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709"/>
      <c r="T834" s="690"/>
      <c r="U834" s="690"/>
      <c r="V834" s="690"/>
      <c r="W834" s="84"/>
      <c r="X834" s="85"/>
      <c r="Y834" s="246"/>
      <c r="Z834" s="1051"/>
      <c r="AA834" s="1051"/>
      <c r="AB834" s="1051"/>
      <c r="AC834" s="1051"/>
      <c r="AD834" s="1051"/>
      <c r="AE834" s="2456"/>
      <c r="AF834" s="2082"/>
      <c r="AG834" s="2082"/>
      <c r="AH834" s="2082"/>
      <c r="AI834" s="1036">
        <f>AI833*4000</f>
        <v>3880</v>
      </c>
      <c r="AJ834" s="1051" t="s">
        <v>3</v>
      </c>
      <c r="AK834" s="2457"/>
      <c r="AL834" s="429"/>
      <c r="AM834" s="429"/>
      <c r="AN834" s="429"/>
      <c r="AO834" s="959"/>
      <c r="AP834" s="959"/>
      <c r="AQ834" s="705"/>
      <c r="AR834" s="29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</row>
    <row r="835" spans="1:86" s="53" customFormat="1" ht="25.5" customHeight="1" x14ac:dyDescent="0.2">
      <c r="A835" s="1423">
        <v>18</v>
      </c>
      <c r="B835" s="1285" t="s">
        <v>955</v>
      </c>
      <c r="C835" s="1234" t="s">
        <v>956</v>
      </c>
      <c r="D835" s="1415">
        <v>0.81799999999999995</v>
      </c>
      <c r="E835" s="1417">
        <f>D835*4000</f>
        <v>3272</v>
      </c>
      <c r="F835" s="1415">
        <v>0.81799999999999995</v>
      </c>
      <c r="G835" s="1417">
        <f>F835*4000</f>
        <v>3272</v>
      </c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709"/>
      <c r="T835" s="690"/>
      <c r="U835" s="690"/>
      <c r="V835" s="690"/>
      <c r="W835" s="84"/>
      <c r="X835" s="85"/>
      <c r="Y835" s="246"/>
      <c r="Z835" s="1051"/>
      <c r="AA835" s="1051"/>
      <c r="AB835" s="1051"/>
      <c r="AC835" s="1051"/>
      <c r="AD835" s="1051"/>
      <c r="AE835" s="2456"/>
      <c r="AF835" s="2082" t="s">
        <v>1502</v>
      </c>
      <c r="AG835" s="2082" t="s">
        <v>1503</v>
      </c>
      <c r="AH835" s="2082" t="s">
        <v>5</v>
      </c>
      <c r="AI835" s="975">
        <v>0.81799999999999995</v>
      </c>
      <c r="AJ835" s="1051" t="s">
        <v>2</v>
      </c>
      <c r="AK835" s="2457">
        <v>9847</v>
      </c>
      <c r="AL835" s="429"/>
      <c r="AM835" s="429"/>
      <c r="AN835" s="429"/>
      <c r="AO835" s="959"/>
      <c r="AP835" s="959"/>
      <c r="AQ835" s="705"/>
      <c r="AR835" s="29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</row>
    <row r="836" spans="1:86" s="53" customFormat="1" ht="25.5" customHeight="1" x14ac:dyDescent="0.2">
      <c r="A836" s="1424"/>
      <c r="B836" s="1212"/>
      <c r="C836" s="1210"/>
      <c r="D836" s="1864"/>
      <c r="E836" s="1861"/>
      <c r="F836" s="1864"/>
      <c r="G836" s="1861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709"/>
      <c r="T836" s="690"/>
      <c r="U836" s="690"/>
      <c r="V836" s="690"/>
      <c r="W836" s="84"/>
      <c r="X836" s="85"/>
      <c r="Y836" s="246"/>
      <c r="Z836" s="1051"/>
      <c r="AA836" s="1051"/>
      <c r="AB836" s="1051"/>
      <c r="AC836" s="1051"/>
      <c r="AD836" s="1051"/>
      <c r="AE836" s="2456"/>
      <c r="AF836" s="2082"/>
      <c r="AG836" s="2082"/>
      <c r="AH836" s="2082"/>
      <c r="AI836" s="878">
        <f>AI835*4000</f>
        <v>3272</v>
      </c>
      <c r="AJ836" s="1051" t="s">
        <v>3</v>
      </c>
      <c r="AK836" s="2457"/>
      <c r="AL836" s="429"/>
      <c r="AM836" s="429"/>
      <c r="AN836" s="429"/>
      <c r="AO836" s="1056"/>
      <c r="AP836" s="1056"/>
      <c r="AQ836" s="1056"/>
      <c r="AR836" s="29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</row>
    <row r="837" spans="1:86" s="53" customFormat="1" ht="20.25" customHeight="1" x14ac:dyDescent="0.2">
      <c r="A837" s="1425">
        <v>19</v>
      </c>
      <c r="B837" s="1233" t="s">
        <v>953</v>
      </c>
      <c r="C837" s="1343" t="s">
        <v>954</v>
      </c>
      <c r="D837" s="1258">
        <v>0.73099999999999998</v>
      </c>
      <c r="E837" s="1258">
        <f>D837*4000</f>
        <v>2924</v>
      </c>
      <c r="F837" s="1258">
        <v>0.19</v>
      </c>
      <c r="G837" s="1284">
        <f>F837*4000</f>
        <v>760</v>
      </c>
      <c r="H837" s="1056"/>
      <c r="I837" s="1056"/>
      <c r="J837" s="1056"/>
      <c r="K837" s="1056"/>
      <c r="L837" s="1056"/>
      <c r="M837" s="1056"/>
      <c r="N837" s="1056"/>
      <c r="O837" s="1056"/>
      <c r="P837" s="1056"/>
      <c r="Q837" s="1056"/>
      <c r="R837" s="1056"/>
      <c r="S837" s="296"/>
      <c r="T837" s="294"/>
      <c r="U837" s="294"/>
      <c r="V837" s="294"/>
      <c r="W837" s="84"/>
      <c r="X837" s="85"/>
      <c r="Y837" s="295"/>
      <c r="Z837" s="85"/>
      <c r="AA837" s="85"/>
      <c r="AB837" s="85"/>
      <c r="AC837" s="85"/>
      <c r="AD837" s="85"/>
      <c r="AE837" s="85"/>
      <c r="AF837" s="1056"/>
      <c r="AG837" s="1056"/>
      <c r="AH837" s="1056"/>
      <c r="AI837" s="1056"/>
      <c r="AJ837" s="1056"/>
      <c r="AK837" s="1056"/>
      <c r="AL837" s="1279" t="s">
        <v>441</v>
      </c>
      <c r="AM837" s="1279" t="s">
        <v>1533</v>
      </c>
      <c r="AN837" s="1279" t="s">
        <v>5</v>
      </c>
      <c r="AO837" s="42">
        <v>0.19</v>
      </c>
      <c r="AP837" s="883" t="s">
        <v>2</v>
      </c>
      <c r="AQ837" s="1735">
        <v>6356</v>
      </c>
      <c r="AR837" s="29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</row>
    <row r="838" spans="1:86" s="53" customFormat="1" ht="20.25" customHeight="1" x14ac:dyDescent="0.2">
      <c r="A838" s="1425"/>
      <c r="B838" s="1233"/>
      <c r="C838" s="1273"/>
      <c r="D838" s="1258"/>
      <c r="E838" s="1258"/>
      <c r="F838" s="1258"/>
      <c r="G838" s="1284"/>
      <c r="H838" s="779"/>
      <c r="I838" s="779"/>
      <c r="J838" s="779"/>
      <c r="K838" s="779"/>
      <c r="L838" s="779"/>
      <c r="M838" s="779"/>
      <c r="N838" s="779"/>
      <c r="O838" s="779"/>
      <c r="P838" s="779"/>
      <c r="Q838" s="779"/>
      <c r="R838" s="779"/>
      <c r="S838" s="780"/>
      <c r="T838" s="781"/>
      <c r="U838" s="781"/>
      <c r="V838" s="690"/>
      <c r="W838" s="84"/>
      <c r="X838" s="85"/>
      <c r="Y838" s="246"/>
      <c r="Z838" s="1051"/>
      <c r="AA838" s="1051"/>
      <c r="AB838" s="1051"/>
      <c r="AC838" s="1051"/>
      <c r="AD838" s="1051"/>
      <c r="AE838" s="2456"/>
      <c r="AF838" s="959"/>
      <c r="AG838" s="959"/>
      <c r="AH838" s="959"/>
      <c r="AI838" s="909"/>
      <c r="AJ838" s="959"/>
      <c r="AK838" s="2458"/>
      <c r="AL838" s="1268"/>
      <c r="AM838" s="1268"/>
      <c r="AN838" s="1268"/>
      <c r="AO838" s="926">
        <f>AO837*4000</f>
        <v>760</v>
      </c>
      <c r="AP838" s="883" t="s">
        <v>3</v>
      </c>
      <c r="AQ838" s="1736"/>
      <c r="AR838" s="29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</row>
    <row r="839" spans="1:86" s="20" customFormat="1" ht="22.5" customHeight="1" x14ac:dyDescent="0.2">
      <c r="A839" s="1381">
        <v>20</v>
      </c>
      <c r="B839" s="1350">
        <v>2244274</v>
      </c>
      <c r="C839" s="1372" t="s">
        <v>1489</v>
      </c>
      <c r="D839" s="1374">
        <v>2.15</v>
      </c>
      <c r="E839" s="1470">
        <v>10750</v>
      </c>
      <c r="F839" s="1374">
        <v>0.92</v>
      </c>
      <c r="G839" s="1470">
        <f>E839/D839*F839</f>
        <v>4600</v>
      </c>
      <c r="H839" s="996"/>
      <c r="I839" s="1058"/>
      <c r="J839" s="1058"/>
      <c r="K839" s="1058"/>
      <c r="L839" s="1058"/>
      <c r="M839" s="1058"/>
      <c r="N839" s="874"/>
      <c r="O839" s="874"/>
      <c r="P839" s="906"/>
      <c r="Q839" s="992"/>
      <c r="R839" s="1058"/>
      <c r="S839" s="650"/>
      <c r="T839" s="1332"/>
      <c r="U839" s="1332"/>
      <c r="V839" s="34"/>
      <c r="W839" s="899"/>
      <c r="X839" s="1120"/>
      <c r="Y839" s="622"/>
      <c r="Z839" s="1300" t="s">
        <v>441</v>
      </c>
      <c r="AA839" s="1300" t="s">
        <v>625</v>
      </c>
      <c r="AB839" s="1233" t="s">
        <v>43</v>
      </c>
      <c r="AC839" s="978">
        <v>0.92</v>
      </c>
      <c r="AD839" s="2459" t="s">
        <v>2</v>
      </c>
      <c r="AE839" s="1319">
        <v>8433.5732000000007</v>
      </c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123"/>
      <c r="AP839" s="61"/>
      <c r="AQ839" s="61"/>
      <c r="AR839" s="61"/>
    </row>
    <row r="840" spans="1:86" s="20" customFormat="1" ht="22.5" customHeight="1" x14ac:dyDescent="0.2">
      <c r="A840" s="1382"/>
      <c r="B840" s="1297"/>
      <c r="C840" s="1373"/>
      <c r="D840" s="1375"/>
      <c r="E840" s="1471"/>
      <c r="F840" s="1375"/>
      <c r="G840" s="1471"/>
      <c r="H840" s="996"/>
      <c r="I840" s="1058"/>
      <c r="J840" s="1058"/>
      <c r="K840" s="1058"/>
      <c r="L840" s="1058"/>
      <c r="M840" s="1058"/>
      <c r="N840" s="874"/>
      <c r="O840" s="874"/>
      <c r="P840" s="906"/>
      <c r="Q840" s="992"/>
      <c r="R840" s="1058"/>
      <c r="S840" s="650"/>
      <c r="T840" s="1235"/>
      <c r="U840" s="1235"/>
      <c r="V840" s="34"/>
      <c r="W840" s="897"/>
      <c r="X840" s="1120"/>
      <c r="Y840" s="622"/>
      <c r="Z840" s="1213"/>
      <c r="AA840" s="1213"/>
      <c r="AB840" s="1233"/>
      <c r="AC840" s="898">
        <f>G839/F839*AC839</f>
        <v>4600</v>
      </c>
      <c r="AD840" s="2459" t="s">
        <v>3</v>
      </c>
      <c r="AE840" s="1214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123"/>
      <c r="AP840" s="61"/>
      <c r="AQ840" s="61"/>
      <c r="AR840" s="61"/>
    </row>
    <row r="841" spans="1:86" s="20" customFormat="1" ht="22.5" customHeight="1" x14ac:dyDescent="0.2">
      <c r="A841" s="1381">
        <v>21</v>
      </c>
      <c r="B841" s="1350"/>
      <c r="C841" s="1372" t="s">
        <v>1587</v>
      </c>
      <c r="D841" s="1374">
        <v>0.61799999999999999</v>
      </c>
      <c r="E841" s="1470">
        <f>G841</f>
        <v>0</v>
      </c>
      <c r="F841" s="1374">
        <v>0.61799999999999999</v>
      </c>
      <c r="G841" s="1470">
        <f>AC842</f>
        <v>0</v>
      </c>
      <c r="H841" s="996"/>
      <c r="I841" s="1058"/>
      <c r="J841" s="1058"/>
      <c r="K841" s="1058"/>
      <c r="L841" s="1058"/>
      <c r="M841" s="1058"/>
      <c r="N841" s="874"/>
      <c r="O841" s="874"/>
      <c r="P841" s="906"/>
      <c r="Q841" s="992"/>
      <c r="R841" s="1058"/>
      <c r="S841" s="650"/>
      <c r="T841" s="1332"/>
      <c r="U841" s="1332"/>
      <c r="V841" s="34"/>
      <c r="W841" s="899"/>
      <c r="X841" s="1120"/>
      <c r="Y841" s="622"/>
      <c r="Z841" s="1300" t="s">
        <v>441</v>
      </c>
      <c r="AA841" s="1300" t="s">
        <v>1301</v>
      </c>
      <c r="AB841" s="1233" t="s">
        <v>43</v>
      </c>
      <c r="AC841" s="978">
        <v>0.61799999999999999</v>
      </c>
      <c r="AD841" s="2459" t="s">
        <v>2</v>
      </c>
      <c r="AE841" s="1319">
        <v>8904.5465600000007</v>
      </c>
      <c r="AF841" s="850"/>
      <c r="AG841" s="850"/>
      <c r="AH841" s="850"/>
      <c r="AI841" s="850"/>
      <c r="AJ841" s="850"/>
      <c r="AK841" s="850"/>
      <c r="AL841" s="850"/>
      <c r="AM841" s="850"/>
      <c r="AN841" s="850"/>
      <c r="AO841" s="850"/>
      <c r="AP841" s="858"/>
      <c r="AQ841" s="858"/>
      <c r="AR841" s="858"/>
    </row>
    <row r="842" spans="1:86" s="20" customFormat="1" ht="22.5" customHeight="1" x14ac:dyDescent="0.2">
      <c r="A842" s="1382"/>
      <c r="B842" s="1297"/>
      <c r="C842" s="1373"/>
      <c r="D842" s="1375"/>
      <c r="E842" s="1471"/>
      <c r="F842" s="1375"/>
      <c r="G842" s="1471"/>
      <c r="H842" s="996"/>
      <c r="I842" s="1058"/>
      <c r="J842" s="1058"/>
      <c r="K842" s="1058"/>
      <c r="L842" s="1058"/>
      <c r="M842" s="1058"/>
      <c r="N842" s="874"/>
      <c r="O842" s="874"/>
      <c r="P842" s="906"/>
      <c r="Q842" s="992"/>
      <c r="R842" s="1058"/>
      <c r="S842" s="650"/>
      <c r="T842" s="1235"/>
      <c r="U842" s="1235"/>
      <c r="V842" s="34"/>
      <c r="W842" s="897"/>
      <c r="X842" s="1120"/>
      <c r="Y842" s="622"/>
      <c r="Z842" s="1213"/>
      <c r="AA842" s="1213"/>
      <c r="AB842" s="1233"/>
      <c r="AC842" s="898"/>
      <c r="AD842" s="2459" t="s">
        <v>3</v>
      </c>
      <c r="AE842" s="1214"/>
      <c r="AF842" s="850"/>
      <c r="AG842" s="850"/>
      <c r="AH842" s="850"/>
      <c r="AI842" s="850"/>
      <c r="AJ842" s="850"/>
      <c r="AK842" s="850"/>
      <c r="AL842" s="850"/>
      <c r="AM842" s="850"/>
      <c r="AN842" s="850"/>
      <c r="AO842" s="850"/>
      <c r="AP842" s="858"/>
      <c r="AQ842" s="858"/>
      <c r="AR842" s="858"/>
    </row>
    <row r="843" spans="1:86" s="20" customFormat="1" ht="22.5" customHeight="1" x14ac:dyDescent="0.2">
      <c r="A843" s="1381">
        <v>22</v>
      </c>
      <c r="B843" s="1350"/>
      <c r="C843" s="1372" t="s">
        <v>1588</v>
      </c>
      <c r="D843" s="1374">
        <v>0.28799999999999998</v>
      </c>
      <c r="E843" s="1470">
        <f>G843</f>
        <v>0</v>
      </c>
      <c r="F843" s="1374">
        <v>0.28799999999999998</v>
      </c>
      <c r="G843" s="1470">
        <f>AC844</f>
        <v>0</v>
      </c>
      <c r="H843" s="996"/>
      <c r="I843" s="1058"/>
      <c r="J843" s="1058"/>
      <c r="K843" s="1058"/>
      <c r="L843" s="1058"/>
      <c r="M843" s="1058"/>
      <c r="N843" s="874"/>
      <c r="O843" s="874"/>
      <c r="P843" s="906"/>
      <c r="Q843" s="992"/>
      <c r="R843" s="1058"/>
      <c r="S843" s="650"/>
      <c r="T843" s="1332"/>
      <c r="U843" s="1332"/>
      <c r="V843" s="34"/>
      <c r="W843" s="899"/>
      <c r="X843" s="1120"/>
      <c r="Y843" s="622"/>
      <c r="Z843" s="1300" t="s">
        <v>441</v>
      </c>
      <c r="AA843" s="1300" t="s">
        <v>1586</v>
      </c>
      <c r="AB843" s="1233" t="s">
        <v>43</v>
      </c>
      <c r="AC843" s="978">
        <v>0.28799999999999998</v>
      </c>
      <c r="AD843" s="2459" t="s">
        <v>2</v>
      </c>
      <c r="AE843" s="1319">
        <v>4149.6916000000001</v>
      </c>
      <c r="AF843" s="850"/>
      <c r="AG843" s="850"/>
      <c r="AH843" s="850"/>
      <c r="AI843" s="850"/>
      <c r="AJ843" s="850"/>
      <c r="AK843" s="850"/>
      <c r="AL843" s="850"/>
      <c r="AM843" s="850"/>
      <c r="AN843" s="850"/>
      <c r="AO843" s="850"/>
      <c r="AP843" s="858"/>
      <c r="AQ843" s="858"/>
      <c r="AR843" s="858"/>
    </row>
    <row r="844" spans="1:86" s="20" customFormat="1" ht="22.5" customHeight="1" x14ac:dyDescent="0.2">
      <c r="A844" s="1382"/>
      <c r="B844" s="1297"/>
      <c r="C844" s="1373"/>
      <c r="D844" s="1375"/>
      <c r="E844" s="1471"/>
      <c r="F844" s="1375"/>
      <c r="G844" s="1471"/>
      <c r="H844" s="996"/>
      <c r="I844" s="1058"/>
      <c r="J844" s="1058"/>
      <c r="K844" s="1058"/>
      <c r="L844" s="1058"/>
      <c r="M844" s="1058"/>
      <c r="N844" s="874"/>
      <c r="O844" s="874"/>
      <c r="P844" s="906"/>
      <c r="Q844" s="992"/>
      <c r="R844" s="1058"/>
      <c r="S844" s="650"/>
      <c r="T844" s="1235"/>
      <c r="U844" s="1235"/>
      <c r="V844" s="34"/>
      <c r="W844" s="897"/>
      <c r="X844" s="1120"/>
      <c r="Y844" s="622"/>
      <c r="Z844" s="1213"/>
      <c r="AA844" s="1213"/>
      <c r="AB844" s="1233"/>
      <c r="AC844" s="898"/>
      <c r="AD844" s="2459" t="s">
        <v>3</v>
      </c>
      <c r="AE844" s="1214"/>
      <c r="AF844" s="850"/>
      <c r="AG844" s="850"/>
      <c r="AH844" s="850"/>
      <c r="AI844" s="850"/>
      <c r="AJ844" s="850"/>
      <c r="AK844" s="850"/>
      <c r="AL844" s="850"/>
      <c r="AM844" s="850"/>
      <c r="AN844" s="850"/>
      <c r="AO844" s="850"/>
      <c r="AP844" s="858"/>
      <c r="AQ844" s="858"/>
      <c r="AR844" s="858"/>
    </row>
    <row r="845" spans="1:86" s="59" customFormat="1" ht="28.9" customHeight="1" thickBot="1" x14ac:dyDescent="0.25">
      <c r="A845" s="859"/>
      <c r="B845" s="860"/>
      <c r="C845" s="861" t="s">
        <v>962</v>
      </c>
      <c r="D845" s="862"/>
      <c r="E845" s="63"/>
      <c r="F845" s="63"/>
      <c r="G845" s="63"/>
      <c r="H845" s="860"/>
      <c r="I845" s="860"/>
      <c r="J845" s="860"/>
      <c r="K845" s="860"/>
      <c r="L845" s="860"/>
      <c r="M845" s="860"/>
      <c r="N845" s="860"/>
      <c r="O845" s="860"/>
      <c r="P845" s="860"/>
      <c r="Q845" s="860"/>
      <c r="R845" s="860"/>
      <c r="S845" s="863"/>
      <c r="T845" s="860"/>
      <c r="U845" s="860"/>
      <c r="V845" s="89"/>
      <c r="W845" s="89">
        <f>W849+W859+W964</f>
        <v>3</v>
      </c>
      <c r="X845" s="89"/>
      <c r="Y845" s="209">
        <f>Y849+Y859+Y851+Y852+Y964+Y888+3</f>
        <v>53860.205679999999</v>
      </c>
      <c r="Z845" s="89"/>
      <c r="AA845" s="860"/>
      <c r="AB845" s="860"/>
      <c r="AC845" s="860">
        <f>AC861+AC864+AC888+AC949+AC990+AC1005+AC1051+AC853+AC870+AC952+AC1062+AC1072</f>
        <v>10.552000000000001</v>
      </c>
      <c r="AD845" s="860"/>
      <c r="AE845" s="863">
        <f>AE861+AE864+AE888+AE949+AE990+AE1005+AE1051+AE853+AE870+AE952+AE1062+AE1072</f>
        <v>104311.57921</v>
      </c>
      <c r="AF845" s="410"/>
      <c r="AG845" s="89"/>
      <c r="AH845" s="89"/>
      <c r="AI845" s="89">
        <f>AI853+AI870+AI873+AI882+AI891+AI894+AI1066+AI1068+AI1070+AI1007+AI1064</f>
        <v>12.326000000000002</v>
      </c>
      <c r="AJ845" s="89"/>
      <c r="AK845" s="89">
        <f>AK853+AK870+AK873+AK882+AK891+AK894+AK1066+AK1068+AK1070+AK1007+AK1064+21231.368</f>
        <v>165731.36799999999</v>
      </c>
      <c r="AL845" s="1012"/>
      <c r="AM845" s="89"/>
      <c r="AN845" s="89"/>
      <c r="AO845" s="89">
        <f>AO978+AO981+AO984+AO987+AO990+AO993+AO996+AO999+AO1002+AO1005+AO1007+AO1009+AO1015+AO1018+AO1021+AO1024+AO1027+AO1030+AO1033+AO1036+AO1039+AO897+AO900+AO903+AO906+AO946+AO975+1.4</f>
        <v>8.7900000000000009</v>
      </c>
      <c r="AP845" s="89"/>
      <c r="AQ845" s="209">
        <f>AQ978+AQ981+AQ984+AQ987+AQ990+AQ993+AQ996+AQ999+AQ1002+AQ1005+AQ1007+AQ1009+AQ1015+AQ1018+AQ1021+AQ1024+AQ1027+AQ1030+AQ1033+AQ1036+AQ1039+AQ897+AQ900+AQ903+AQ906+AQ946+AQ975+35211.368</f>
        <v>165731.36800000002</v>
      </c>
      <c r="AR845" s="89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  <c r="BM845" s="58"/>
      <c r="BN845" s="58"/>
      <c r="BO845" s="58"/>
      <c r="BP845" s="58"/>
      <c r="BQ845" s="58"/>
      <c r="BR845" s="58"/>
      <c r="BS845" s="58"/>
      <c r="BT845" s="58"/>
      <c r="BU845" s="58"/>
      <c r="BV845" s="58"/>
      <c r="BW845" s="58"/>
      <c r="BX845" s="58"/>
      <c r="BY845" s="58"/>
      <c r="BZ845" s="58"/>
      <c r="CA845" s="58"/>
      <c r="CB845" s="58"/>
      <c r="CC845" s="58"/>
      <c r="CD845" s="58"/>
      <c r="CE845" s="58"/>
      <c r="CF845" s="58"/>
      <c r="CG845" s="58"/>
      <c r="CH845" s="58"/>
    </row>
    <row r="846" spans="1:86" s="53" customFormat="1" ht="24" hidden="1" customHeight="1" x14ac:dyDescent="0.2">
      <c r="A846" s="1626">
        <v>1</v>
      </c>
      <c r="B846" s="1296">
        <v>3405462</v>
      </c>
      <c r="C846" s="1412" t="s">
        <v>128</v>
      </c>
      <c r="D846" s="1429">
        <v>3.3</v>
      </c>
      <c r="E846" s="1433">
        <v>14850</v>
      </c>
      <c r="F846" s="1865">
        <v>3.3</v>
      </c>
      <c r="G846" s="1433">
        <v>14850</v>
      </c>
      <c r="H846" s="359"/>
      <c r="I846" s="359"/>
      <c r="J846" s="359"/>
      <c r="K846" s="359"/>
      <c r="L846" s="359"/>
      <c r="M846" s="359"/>
      <c r="N846" s="359"/>
      <c r="O846" s="359"/>
      <c r="P846" s="359"/>
      <c r="Q846" s="359"/>
      <c r="R846" s="359"/>
      <c r="S846" s="360"/>
      <c r="T846" s="361"/>
      <c r="U846" s="361"/>
      <c r="V846" s="294"/>
      <c r="W846" s="83"/>
      <c r="X846" s="1056"/>
      <c r="Y846" s="295"/>
      <c r="Z846" s="297"/>
      <c r="AA846" s="288"/>
      <c r="AB846" s="302"/>
      <c r="AC846" s="162"/>
      <c r="AD846" s="967"/>
      <c r="AE846" s="339"/>
      <c r="AF846" s="354"/>
      <c r="AG846" s="1056"/>
      <c r="AH846" s="1056"/>
      <c r="AI846" s="1056"/>
      <c r="AJ846" s="1056"/>
      <c r="AK846" s="1056"/>
      <c r="AL846" s="1296" t="s">
        <v>504</v>
      </c>
      <c r="AM846" s="1296" t="s">
        <v>494</v>
      </c>
      <c r="AN846" s="1221" t="s">
        <v>495</v>
      </c>
      <c r="AO846" s="349">
        <v>3.3</v>
      </c>
      <c r="AP846" s="966" t="s">
        <v>2</v>
      </c>
      <c r="AQ846" s="1739">
        <f>16320+858.947+21019.049</f>
        <v>38197.995999999999</v>
      </c>
      <c r="AR846" s="1056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</row>
    <row r="847" spans="1:86" s="53" customFormat="1" ht="21" hidden="1" customHeight="1" thickBot="1" x14ac:dyDescent="0.25">
      <c r="A847" s="1560"/>
      <c r="B847" s="1298"/>
      <c r="C847" s="1413"/>
      <c r="D847" s="1430"/>
      <c r="E847" s="1400"/>
      <c r="F847" s="1430"/>
      <c r="G847" s="1400"/>
      <c r="H847" s="1056"/>
      <c r="I847" s="1056"/>
      <c r="J847" s="1056"/>
      <c r="K847" s="1056"/>
      <c r="L847" s="1056"/>
      <c r="M847" s="1056"/>
      <c r="N847" s="1056"/>
      <c r="O847" s="1056"/>
      <c r="P847" s="1056"/>
      <c r="Q847" s="1056"/>
      <c r="R847" s="1056"/>
      <c r="S847" s="296"/>
      <c r="T847" s="294"/>
      <c r="U847" s="294"/>
      <c r="V847" s="294"/>
      <c r="W847" s="84"/>
      <c r="X847" s="85"/>
      <c r="Y847" s="295"/>
      <c r="Z847" s="288"/>
      <c r="AA847" s="288"/>
      <c r="AB847" s="302"/>
      <c r="AC847" s="967"/>
      <c r="AD847" s="967"/>
      <c r="AE847" s="654"/>
      <c r="AF847" s="247"/>
      <c r="AG847" s="1056"/>
      <c r="AH847" s="1056"/>
      <c r="AI847" s="1056"/>
      <c r="AJ847" s="1056"/>
      <c r="AK847" s="1056"/>
      <c r="AL847" s="1351"/>
      <c r="AM847" s="1351"/>
      <c r="AN847" s="1235"/>
      <c r="AO847" s="967">
        <v>14850</v>
      </c>
      <c r="AP847" s="967" t="s">
        <v>4</v>
      </c>
      <c r="AQ847" s="1740"/>
      <c r="AR847" s="1056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</row>
    <row r="848" spans="1:86" s="53" customFormat="1" ht="24.75" hidden="1" customHeight="1" thickBot="1" x14ac:dyDescent="0.25">
      <c r="A848" s="1396"/>
      <c r="B848" s="1248"/>
      <c r="C848" s="1414"/>
      <c r="D848" s="1614"/>
      <c r="E848" s="1434"/>
      <c r="F848" s="1614"/>
      <c r="G848" s="1434"/>
      <c r="H848" s="364"/>
      <c r="I848" s="364"/>
      <c r="J848" s="364"/>
      <c r="K848" s="364"/>
      <c r="L848" s="364"/>
      <c r="M848" s="364"/>
      <c r="N848" s="364"/>
      <c r="O848" s="364"/>
      <c r="P848" s="364"/>
      <c r="Q848" s="364"/>
      <c r="R848" s="364"/>
      <c r="S848" s="365"/>
      <c r="T848" s="366"/>
      <c r="U848" s="366"/>
      <c r="V848" s="366"/>
      <c r="W848" s="367"/>
      <c r="X848" s="368"/>
      <c r="Y848" s="369"/>
      <c r="Z848" s="288"/>
      <c r="AA848" s="288"/>
      <c r="AB848" s="874"/>
      <c r="AC848" s="967"/>
      <c r="AD848" s="967"/>
      <c r="AE848" s="654"/>
      <c r="AF848" s="247"/>
      <c r="AG848" s="1056"/>
      <c r="AH848" s="1056"/>
      <c r="AI848" s="1056"/>
      <c r="AJ848" s="1056"/>
      <c r="AK848" s="1056"/>
      <c r="AL848" s="1436"/>
      <c r="AM848" s="1436"/>
      <c r="AN848" s="876" t="s">
        <v>35</v>
      </c>
      <c r="AO848" s="932">
        <v>10</v>
      </c>
      <c r="AP848" s="932" t="s">
        <v>8</v>
      </c>
      <c r="AQ848" s="1740"/>
      <c r="AR848" s="1056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</row>
    <row r="849" spans="1:86" s="53" customFormat="1" ht="23.85" customHeight="1" x14ac:dyDescent="0.2">
      <c r="A849" s="1626">
        <v>1</v>
      </c>
      <c r="B849" s="1605">
        <v>3405473</v>
      </c>
      <c r="C849" s="1858" t="s">
        <v>130</v>
      </c>
      <c r="D849" s="1612">
        <v>1.4</v>
      </c>
      <c r="E849" s="1453">
        <v>6800</v>
      </c>
      <c r="F849" s="1612">
        <v>1.4</v>
      </c>
      <c r="G849" s="1453">
        <v>6800</v>
      </c>
      <c r="H849" s="359"/>
      <c r="I849" s="359"/>
      <c r="J849" s="359"/>
      <c r="K849" s="359"/>
      <c r="L849" s="359"/>
      <c r="M849" s="359"/>
      <c r="N849" s="359"/>
      <c r="O849" s="359"/>
      <c r="P849" s="359"/>
      <c r="Q849" s="359"/>
      <c r="R849" s="359"/>
      <c r="S849" s="360"/>
      <c r="T849" s="1278" t="s">
        <v>441</v>
      </c>
      <c r="U849" s="1278" t="s">
        <v>683</v>
      </c>
      <c r="V849" s="2078" t="s">
        <v>43</v>
      </c>
      <c r="W849" s="1012">
        <v>1.4</v>
      </c>
      <c r="X849" s="1012" t="s">
        <v>2</v>
      </c>
      <c r="Y849" s="2077">
        <f>14326.90096-Y851-Y852</f>
        <v>13866.729360000001</v>
      </c>
      <c r="Z849" s="288"/>
      <c r="AA849" s="288"/>
      <c r="AB849" s="302"/>
      <c r="AC849" s="162"/>
      <c r="AD849" s="967"/>
      <c r="AE849" s="339"/>
      <c r="AF849" s="354"/>
      <c r="AG849" s="1056"/>
      <c r="AH849" s="1056"/>
      <c r="AI849" s="1056"/>
      <c r="AJ849" s="1056"/>
      <c r="AK849" s="1056"/>
      <c r="AL849" s="85"/>
      <c r="AM849" s="85"/>
      <c r="AN849" s="85"/>
      <c r="AO849" s="85"/>
      <c r="AP849" s="85"/>
      <c r="AQ849" s="85"/>
      <c r="AR849" s="1056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</row>
    <row r="850" spans="1:86" s="53" customFormat="1" ht="23.85" customHeight="1" x14ac:dyDescent="0.2">
      <c r="A850" s="1560"/>
      <c r="B850" s="1851"/>
      <c r="C850" s="1859"/>
      <c r="D850" s="1856"/>
      <c r="E850" s="1454"/>
      <c r="F850" s="1856"/>
      <c r="G850" s="1454"/>
      <c r="H850" s="1056"/>
      <c r="I850" s="1056"/>
      <c r="J850" s="1056"/>
      <c r="K850" s="1056"/>
      <c r="L850" s="1056"/>
      <c r="M850" s="1056"/>
      <c r="N850" s="1056"/>
      <c r="O850" s="1056"/>
      <c r="P850" s="1056"/>
      <c r="Q850" s="1056"/>
      <c r="R850" s="1056"/>
      <c r="S850" s="296"/>
      <c r="T850" s="1329"/>
      <c r="U850" s="1329"/>
      <c r="V850" s="1213"/>
      <c r="W850" s="1115">
        <v>9037</v>
      </c>
      <c r="X850" s="1068" t="s">
        <v>3</v>
      </c>
      <c r="Y850" s="1960"/>
      <c r="Z850" s="288"/>
      <c r="AA850" s="288"/>
      <c r="AB850" s="302"/>
      <c r="AC850" s="967"/>
      <c r="AD850" s="967"/>
      <c r="AE850" s="654"/>
      <c r="AF850" s="247"/>
      <c r="AG850" s="1056"/>
      <c r="AH850" s="1056"/>
      <c r="AI850" s="1056"/>
      <c r="AJ850" s="1056"/>
      <c r="AK850" s="1056"/>
      <c r="AL850" s="1056"/>
      <c r="AM850" s="1056"/>
      <c r="AN850" s="1056"/>
      <c r="AO850" s="1056"/>
      <c r="AP850" s="1056"/>
      <c r="AQ850" s="1056"/>
      <c r="AR850" s="1056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</row>
    <row r="851" spans="1:86" s="53" customFormat="1" ht="23.85" customHeight="1" x14ac:dyDescent="0.2">
      <c r="A851" s="1560"/>
      <c r="B851" s="1851"/>
      <c r="C851" s="1859"/>
      <c r="D851" s="1856"/>
      <c r="E851" s="1454"/>
      <c r="F851" s="1856"/>
      <c r="G851" s="1454"/>
      <c r="H851" s="1056"/>
      <c r="I851" s="1056"/>
      <c r="J851" s="1056"/>
      <c r="K851" s="1056"/>
      <c r="L851" s="1056"/>
      <c r="M851" s="1056"/>
      <c r="N851" s="1056"/>
      <c r="O851" s="1056"/>
      <c r="P851" s="1056"/>
      <c r="Q851" s="1056"/>
      <c r="R851" s="1056"/>
      <c r="S851" s="296"/>
      <c r="T851" s="1329"/>
      <c r="U851" s="1329"/>
      <c r="V851" s="878" t="s">
        <v>6</v>
      </c>
      <c r="W851" s="1007">
        <v>4.2</v>
      </c>
      <c r="X851" s="1012" t="s">
        <v>2</v>
      </c>
      <c r="Y851" s="1007">
        <v>55.581600000000002</v>
      </c>
      <c r="Z851" s="288"/>
      <c r="AA851" s="288"/>
      <c r="AB851" s="302"/>
      <c r="AC851" s="967"/>
      <c r="AD851" s="967"/>
      <c r="AE851" s="654"/>
      <c r="AF851" s="247"/>
      <c r="AG851" s="1056"/>
      <c r="AH851" s="1056"/>
      <c r="AI851" s="1056"/>
      <c r="AJ851" s="1056"/>
      <c r="AK851" s="1056"/>
      <c r="AL851" s="1056"/>
      <c r="AM851" s="1056"/>
      <c r="AN851" s="1056"/>
      <c r="AO851" s="1056"/>
      <c r="AP851" s="1056"/>
      <c r="AQ851" s="1056"/>
      <c r="AR851" s="1056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</row>
    <row r="852" spans="1:86" s="53" customFormat="1" ht="38.25" customHeight="1" thickBot="1" x14ac:dyDescent="0.25">
      <c r="A852" s="1396"/>
      <c r="B852" s="1852"/>
      <c r="C852" s="1860"/>
      <c r="D852" s="1857"/>
      <c r="E852" s="1455"/>
      <c r="F852" s="1857"/>
      <c r="G852" s="1455"/>
      <c r="H852" s="1056"/>
      <c r="I852" s="1056"/>
      <c r="J852" s="1056"/>
      <c r="K852" s="1056"/>
      <c r="L852" s="1056"/>
      <c r="M852" s="1056"/>
      <c r="N852" s="1056"/>
      <c r="O852" s="1056"/>
      <c r="P852" s="1056"/>
      <c r="Q852" s="1056"/>
      <c r="R852" s="1056"/>
      <c r="S852" s="296"/>
      <c r="T852" s="1357"/>
      <c r="U852" s="1357"/>
      <c r="V852" s="878" t="s">
        <v>35</v>
      </c>
      <c r="W852" s="1021">
        <v>34</v>
      </c>
      <c r="X852" s="1012" t="s">
        <v>8</v>
      </c>
      <c r="Y852" s="1007">
        <v>404.59</v>
      </c>
      <c r="Z852" s="288"/>
      <c r="AA852" s="288"/>
      <c r="AB852" s="302"/>
      <c r="AC852" s="967"/>
      <c r="AD852" s="967"/>
      <c r="AE852" s="654"/>
      <c r="AF852" s="247"/>
      <c r="AG852" s="1056"/>
      <c r="AH852" s="1056"/>
      <c r="AI852" s="1056"/>
      <c r="AJ852" s="1056"/>
      <c r="AK852" s="1056"/>
      <c r="AL852" s="1056"/>
      <c r="AM852" s="1056"/>
      <c r="AN852" s="1056"/>
      <c r="AO852" s="1056"/>
      <c r="AP852" s="1056"/>
      <c r="AQ852" s="1056"/>
      <c r="AR852" s="1056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</row>
    <row r="853" spans="1:86" s="53" customFormat="1" ht="22.5" customHeight="1" x14ac:dyDescent="0.2">
      <c r="A853" s="1626">
        <v>2</v>
      </c>
      <c r="B853" s="1296">
        <v>3405545</v>
      </c>
      <c r="C853" s="1412" t="s">
        <v>626</v>
      </c>
      <c r="D853" s="1429">
        <v>0.69399999999999995</v>
      </c>
      <c r="E853" s="1399">
        <f>D853*5000</f>
        <v>3469.9999999999995</v>
      </c>
      <c r="F853" s="1429">
        <v>0.69399999999999995</v>
      </c>
      <c r="G853" s="1399">
        <f>F853*5000</f>
        <v>3469.9999999999995</v>
      </c>
      <c r="H853" s="359"/>
      <c r="I853" s="359"/>
      <c r="J853" s="359"/>
      <c r="K853" s="359"/>
      <c r="L853" s="359"/>
      <c r="M853" s="359"/>
      <c r="N853" s="359"/>
      <c r="O853" s="359"/>
      <c r="P853" s="359"/>
      <c r="Q853" s="359"/>
      <c r="R853" s="359"/>
      <c r="S853" s="360"/>
      <c r="T853" s="361"/>
      <c r="U853" s="361"/>
      <c r="V853" s="361"/>
      <c r="W853" s="362"/>
      <c r="X853" s="359"/>
      <c r="Y853" s="363"/>
      <c r="Z853" s="1456" t="s">
        <v>441</v>
      </c>
      <c r="AA853" s="1851" t="s">
        <v>1558</v>
      </c>
      <c r="AB853" s="1329" t="s">
        <v>495</v>
      </c>
      <c r="AC853" s="1000">
        <v>0.68300000000000005</v>
      </c>
      <c r="AD853" s="934" t="s">
        <v>2</v>
      </c>
      <c r="AE853" s="1741">
        <v>10697.210639999999</v>
      </c>
      <c r="AF853" s="288"/>
      <c r="AG853" s="288"/>
      <c r="AH853" s="302"/>
      <c r="AI853" s="162"/>
      <c r="AJ853" s="967"/>
      <c r="AK853" s="339"/>
      <c r="AL853" s="295"/>
      <c r="AM853" s="1056"/>
      <c r="AN853" s="1056"/>
      <c r="AO853" s="1056"/>
      <c r="AP853" s="1056"/>
      <c r="AQ853" s="1056"/>
      <c r="AR853" s="1056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</row>
    <row r="854" spans="1:86" s="53" customFormat="1" ht="22.5" customHeight="1" thickBot="1" x14ac:dyDescent="0.25">
      <c r="A854" s="1560"/>
      <c r="B854" s="1298"/>
      <c r="C854" s="1413"/>
      <c r="D854" s="1430"/>
      <c r="E854" s="1400"/>
      <c r="F854" s="1430"/>
      <c r="G854" s="1400"/>
      <c r="H854" s="1056"/>
      <c r="I854" s="1056"/>
      <c r="J854" s="1056"/>
      <c r="K854" s="1056"/>
      <c r="L854" s="1056"/>
      <c r="M854" s="1056"/>
      <c r="N854" s="1056"/>
      <c r="O854" s="1056"/>
      <c r="P854" s="1056"/>
      <c r="Q854" s="1056"/>
      <c r="R854" s="1056"/>
      <c r="S854" s="296"/>
      <c r="T854" s="294"/>
      <c r="U854" s="294"/>
      <c r="V854" s="294"/>
      <c r="W854" s="84"/>
      <c r="X854" s="85"/>
      <c r="Y854" s="295"/>
      <c r="Z854" s="1458"/>
      <c r="AA854" s="1351"/>
      <c r="AB854" s="1235"/>
      <c r="AC854" s="967">
        <v>3470</v>
      </c>
      <c r="AD854" s="967" t="s">
        <v>4</v>
      </c>
      <c r="AE854" s="2460"/>
      <c r="AF854" s="288"/>
      <c r="AG854" s="288"/>
      <c r="AH854" s="302"/>
      <c r="AI854" s="967"/>
      <c r="AJ854" s="967"/>
      <c r="AK854" s="654"/>
      <c r="AL854" s="1056"/>
      <c r="AM854" s="1056"/>
      <c r="AN854" s="1056"/>
      <c r="AO854" s="1056"/>
      <c r="AP854" s="1056"/>
      <c r="AQ854" s="1056"/>
      <c r="AR854" s="1056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</row>
    <row r="855" spans="1:86" s="53" customFormat="1" ht="22.5" hidden="1" customHeight="1" thickBot="1" x14ac:dyDescent="0.25">
      <c r="A855" s="1396"/>
      <c r="B855" s="1248"/>
      <c r="C855" s="1414"/>
      <c r="D855" s="1614"/>
      <c r="E855" s="1434"/>
      <c r="F855" s="1614"/>
      <c r="G855" s="1434"/>
      <c r="H855" s="364"/>
      <c r="I855" s="364"/>
      <c r="J855" s="364"/>
      <c r="K855" s="364"/>
      <c r="L855" s="364"/>
      <c r="M855" s="364"/>
      <c r="N855" s="364"/>
      <c r="O855" s="364"/>
      <c r="P855" s="364"/>
      <c r="Q855" s="364"/>
      <c r="R855" s="364"/>
      <c r="S855" s="365"/>
      <c r="T855" s="366"/>
      <c r="U855" s="366"/>
      <c r="V855" s="366"/>
      <c r="W855" s="367"/>
      <c r="X855" s="368"/>
      <c r="Y855" s="369"/>
      <c r="Z855" s="1457"/>
      <c r="AA855" s="1436"/>
      <c r="AB855" s="876" t="s">
        <v>35</v>
      </c>
      <c r="AC855" s="932">
        <v>4</v>
      </c>
      <c r="AD855" s="932" t="s">
        <v>8</v>
      </c>
      <c r="AE855" s="2461"/>
      <c r="AF855" s="288"/>
      <c r="AG855" s="288"/>
      <c r="AH855" s="874"/>
      <c r="AI855" s="967"/>
      <c r="AJ855" s="967"/>
      <c r="AK855" s="654"/>
      <c r="AL855" s="1056"/>
      <c r="AM855" s="1056"/>
      <c r="AN855" s="1056"/>
      <c r="AO855" s="1056"/>
      <c r="AP855" s="1056"/>
      <c r="AQ855" s="1056"/>
      <c r="AR855" s="1056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</row>
    <row r="856" spans="1:86" s="53" customFormat="1" ht="22.5" hidden="1" customHeight="1" x14ac:dyDescent="0.2">
      <c r="A856" s="1395">
        <v>4</v>
      </c>
      <c r="B856" s="976"/>
      <c r="C856" s="1412" t="s">
        <v>627</v>
      </c>
      <c r="D856" s="1429">
        <v>4.7699999999999996</v>
      </c>
      <c r="E856" s="1399">
        <v>23850</v>
      </c>
      <c r="F856" s="1429">
        <v>4.7699999999999996</v>
      </c>
      <c r="G856" s="1399">
        <v>23850</v>
      </c>
      <c r="H856" s="359"/>
      <c r="I856" s="359"/>
      <c r="J856" s="359"/>
      <c r="K856" s="359"/>
      <c r="L856" s="359"/>
      <c r="M856" s="359"/>
      <c r="N856" s="359"/>
      <c r="O856" s="359"/>
      <c r="P856" s="359"/>
      <c r="Q856" s="359"/>
      <c r="R856" s="359"/>
      <c r="S856" s="360"/>
      <c r="T856" s="361"/>
      <c r="U856" s="361"/>
      <c r="V856" s="361"/>
      <c r="W856" s="362"/>
      <c r="X856" s="359"/>
      <c r="Y856" s="363"/>
      <c r="Z856" s="288"/>
      <c r="AA856" s="288"/>
      <c r="AB856" s="302"/>
      <c r="AC856" s="162"/>
      <c r="AD856" s="967"/>
      <c r="AE856" s="339"/>
      <c r="AF856" s="749"/>
      <c r="AG856" s="85"/>
      <c r="AH856" s="85"/>
      <c r="AI856" s="85"/>
      <c r="AJ856" s="85"/>
      <c r="AK856" s="85"/>
      <c r="AL856" s="1290" t="s">
        <v>628</v>
      </c>
      <c r="AM856" s="1290" t="s">
        <v>1477</v>
      </c>
      <c r="AN856" s="1215" t="s">
        <v>495</v>
      </c>
      <c r="AO856" s="162">
        <f>4.77-1.775</f>
        <v>2.9949999999999997</v>
      </c>
      <c r="AP856" s="967" t="s">
        <v>2</v>
      </c>
      <c r="AQ856" s="1741">
        <v>42119.1</v>
      </c>
      <c r="AR856" s="247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</row>
    <row r="857" spans="1:86" s="53" customFormat="1" ht="22.5" hidden="1" customHeight="1" thickBot="1" x14ac:dyDescent="0.25">
      <c r="A857" s="1406"/>
      <c r="B857" s="964">
        <v>3405515</v>
      </c>
      <c r="C857" s="1413"/>
      <c r="D857" s="1430"/>
      <c r="E857" s="1400"/>
      <c r="F857" s="1430"/>
      <c r="G857" s="1400"/>
      <c r="H857" s="1056"/>
      <c r="I857" s="1056"/>
      <c r="J857" s="1056"/>
      <c r="K857" s="1056"/>
      <c r="L857" s="1056"/>
      <c r="M857" s="1056"/>
      <c r="N857" s="1056"/>
      <c r="O857" s="1056"/>
      <c r="P857" s="1056"/>
      <c r="Q857" s="1056"/>
      <c r="R857" s="1056"/>
      <c r="S857" s="296"/>
      <c r="T857" s="294"/>
      <c r="U857" s="294"/>
      <c r="V857" s="294"/>
      <c r="W857" s="84"/>
      <c r="X857" s="85"/>
      <c r="Y857" s="295"/>
      <c r="Z857" s="288"/>
      <c r="AA857" s="288"/>
      <c r="AB857" s="302"/>
      <c r="AC857" s="967"/>
      <c r="AD857" s="967"/>
      <c r="AE857" s="339"/>
      <c r="AF857" s="247"/>
      <c r="AG857" s="1056"/>
      <c r="AH857" s="1056"/>
      <c r="AI857" s="1056"/>
      <c r="AJ857" s="1056"/>
      <c r="AK857" s="1056"/>
      <c r="AL857" s="1290"/>
      <c r="AM857" s="1290"/>
      <c r="AN857" s="1215"/>
      <c r="AO857" s="967">
        <v>23850</v>
      </c>
      <c r="AP857" s="967" t="s">
        <v>4</v>
      </c>
      <c r="AQ857" s="1741"/>
      <c r="AR857" s="247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</row>
    <row r="858" spans="1:86" s="53" customFormat="1" ht="22.5" hidden="1" customHeight="1" thickBot="1" x14ac:dyDescent="0.25">
      <c r="A858" s="543"/>
      <c r="B858" s="971"/>
      <c r="C858" s="1414"/>
      <c r="D858" s="1614"/>
      <c r="E858" s="1434"/>
      <c r="F858" s="1614"/>
      <c r="G858" s="1434"/>
      <c r="H858" s="364"/>
      <c r="I858" s="364"/>
      <c r="J858" s="364"/>
      <c r="K858" s="364"/>
      <c r="L858" s="364"/>
      <c r="M858" s="364"/>
      <c r="N858" s="364"/>
      <c r="O858" s="364"/>
      <c r="P858" s="364"/>
      <c r="Q858" s="364"/>
      <c r="R858" s="364"/>
      <c r="S858" s="365"/>
      <c r="T858" s="366"/>
      <c r="U858" s="366"/>
      <c r="V858" s="366"/>
      <c r="W858" s="367"/>
      <c r="X858" s="368"/>
      <c r="Y858" s="369"/>
      <c r="Z858" s="288"/>
      <c r="AA858" s="288"/>
      <c r="AB858" s="874"/>
      <c r="AC858" s="967"/>
      <c r="AD858" s="967"/>
      <c r="AE858" s="339"/>
      <c r="AF858" s="247"/>
      <c r="AG858" s="1056"/>
      <c r="AH858" s="1056"/>
      <c r="AI858" s="1056"/>
      <c r="AJ858" s="1056"/>
      <c r="AK858" s="1056"/>
      <c r="AL858" s="1350"/>
      <c r="AM858" s="1350"/>
      <c r="AN858" s="876" t="s">
        <v>35</v>
      </c>
      <c r="AO858" s="932">
        <v>16</v>
      </c>
      <c r="AP858" s="932" t="s">
        <v>8</v>
      </c>
      <c r="AQ858" s="1742"/>
      <c r="AR858" s="247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</row>
    <row r="859" spans="1:86" s="53" customFormat="1" ht="22.5" customHeight="1" x14ac:dyDescent="0.2">
      <c r="A859" s="1395">
        <v>3</v>
      </c>
      <c r="B859" s="1247" t="s">
        <v>491</v>
      </c>
      <c r="C859" s="1412" t="s">
        <v>492</v>
      </c>
      <c r="D859" s="1429">
        <v>0.94</v>
      </c>
      <c r="E859" s="1862">
        <v>6474</v>
      </c>
      <c r="F859" s="1429">
        <v>0.94</v>
      </c>
      <c r="G859" s="1862">
        <f>E859</f>
        <v>6474</v>
      </c>
      <c r="H859" s="359"/>
      <c r="I859" s="359"/>
      <c r="J859" s="359"/>
      <c r="K859" s="359"/>
      <c r="L859" s="359"/>
      <c r="M859" s="359"/>
      <c r="N859" s="359"/>
      <c r="O859" s="359"/>
      <c r="P859" s="359"/>
      <c r="Q859" s="359"/>
      <c r="R859" s="359"/>
      <c r="S859" s="360"/>
      <c r="T859" s="1369" t="s">
        <v>441</v>
      </c>
      <c r="U859" s="1369" t="s">
        <v>1485</v>
      </c>
      <c r="V859" s="2078" t="s">
        <v>43</v>
      </c>
      <c r="W859" s="1012">
        <v>0.94</v>
      </c>
      <c r="X859" s="1012" t="s">
        <v>2</v>
      </c>
      <c r="Y859" s="2077">
        <v>8699.3146199999992</v>
      </c>
      <c r="Z859" s="288"/>
      <c r="AA859" s="655"/>
      <c r="AB859" s="302"/>
      <c r="AC859" s="162"/>
      <c r="AD859" s="967"/>
      <c r="AE859" s="339"/>
      <c r="AF859" s="246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1056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</row>
    <row r="860" spans="1:86" s="53" customFormat="1" ht="22.5" customHeight="1" thickBot="1" x14ac:dyDescent="0.25">
      <c r="A860" s="1406"/>
      <c r="B860" s="1298"/>
      <c r="C860" s="1413"/>
      <c r="D860" s="1430"/>
      <c r="E860" s="1863"/>
      <c r="F860" s="1430"/>
      <c r="G860" s="1863"/>
      <c r="H860" s="1056"/>
      <c r="I860" s="1056"/>
      <c r="J860" s="1056"/>
      <c r="K860" s="1056"/>
      <c r="L860" s="1056"/>
      <c r="M860" s="1056"/>
      <c r="N860" s="1056"/>
      <c r="O860" s="1056"/>
      <c r="P860" s="1056"/>
      <c r="Q860" s="1056"/>
      <c r="R860" s="1056"/>
      <c r="S860" s="296"/>
      <c r="T860" s="1235"/>
      <c r="U860" s="1235"/>
      <c r="V860" s="1213"/>
      <c r="W860" s="1115">
        <v>6474</v>
      </c>
      <c r="X860" s="1068" t="s">
        <v>3</v>
      </c>
      <c r="Y860" s="1960"/>
      <c r="Z860" s="288"/>
      <c r="AA860" s="655"/>
      <c r="AB860" s="302"/>
      <c r="AC860" s="967"/>
      <c r="AD860" s="967"/>
      <c r="AE860" s="654"/>
      <c r="AF860" s="758"/>
      <c r="AG860" s="703"/>
      <c r="AH860" s="703"/>
      <c r="AI860" s="703"/>
      <c r="AJ860" s="703"/>
      <c r="AK860" s="703"/>
      <c r="AL860" s="1056"/>
      <c r="AM860" s="1056"/>
      <c r="AN860" s="1056"/>
      <c r="AO860" s="1056"/>
      <c r="AP860" s="1056"/>
      <c r="AQ860" s="1056"/>
      <c r="AR860" s="1056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</row>
    <row r="861" spans="1:86" s="53" customFormat="1" ht="22.5" customHeight="1" x14ac:dyDescent="0.2">
      <c r="A861" s="1395">
        <v>4</v>
      </c>
      <c r="B861" s="1296">
        <v>2238087</v>
      </c>
      <c r="C861" s="1808" t="s">
        <v>502</v>
      </c>
      <c r="D861" s="1450">
        <v>1.131</v>
      </c>
      <c r="E861" s="1401">
        <v>5500</v>
      </c>
      <c r="F861" s="1450">
        <v>1.131</v>
      </c>
      <c r="G861" s="1401">
        <v>5500</v>
      </c>
      <c r="H861" s="359"/>
      <c r="I861" s="359"/>
      <c r="J861" s="359"/>
      <c r="K861" s="359"/>
      <c r="L861" s="359"/>
      <c r="M861" s="359"/>
      <c r="N861" s="359"/>
      <c r="O861" s="359"/>
      <c r="P861" s="359"/>
      <c r="Q861" s="359"/>
      <c r="R861" s="359"/>
      <c r="S861" s="360"/>
      <c r="T861" s="361"/>
      <c r="U861" s="361"/>
      <c r="V861" s="361"/>
      <c r="W861" s="362"/>
      <c r="X861" s="359"/>
      <c r="Y861" s="363"/>
      <c r="Z861" s="1456" t="s">
        <v>441</v>
      </c>
      <c r="AA861" s="1401" t="s">
        <v>1555</v>
      </c>
      <c r="AB861" s="1766" t="s">
        <v>506</v>
      </c>
      <c r="AC861" s="2462">
        <v>1.17</v>
      </c>
      <c r="AD861" s="371" t="s">
        <v>2</v>
      </c>
      <c r="AE861" s="2463">
        <f>16175.681</f>
        <v>16175.681</v>
      </c>
      <c r="AF861" s="691"/>
      <c r="AG861" s="691"/>
      <c r="AH861" s="755"/>
      <c r="AI861" s="753"/>
      <c r="AJ861" s="1171"/>
      <c r="AK861" s="750"/>
      <c r="AL861" s="749"/>
      <c r="AM861" s="247"/>
      <c r="AN861" s="1056"/>
      <c r="AO861" s="1056"/>
      <c r="AP861" s="1056"/>
      <c r="AQ861" s="1056"/>
      <c r="AR861" s="1056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</row>
    <row r="862" spans="1:86" s="53" customFormat="1" ht="22.5" customHeight="1" thickBot="1" x14ac:dyDescent="0.25">
      <c r="A862" s="1406"/>
      <c r="B862" s="1351"/>
      <c r="C862" s="1699"/>
      <c r="D862" s="1451"/>
      <c r="E862" s="1402"/>
      <c r="F862" s="1451"/>
      <c r="G862" s="1402"/>
      <c r="H862" s="1056"/>
      <c r="I862" s="1056"/>
      <c r="J862" s="1056"/>
      <c r="K862" s="1056"/>
      <c r="L862" s="1056"/>
      <c r="M862" s="1056"/>
      <c r="N862" s="1056"/>
      <c r="O862" s="1056"/>
      <c r="P862" s="1056"/>
      <c r="Q862" s="1056"/>
      <c r="R862" s="1056"/>
      <c r="S862" s="296"/>
      <c r="T862" s="294"/>
      <c r="U862" s="294"/>
      <c r="V862" s="294"/>
      <c r="W862" s="84"/>
      <c r="X862" s="85"/>
      <c r="Y862" s="295"/>
      <c r="Z862" s="1458"/>
      <c r="AA862" s="1402"/>
      <c r="AB862" s="1767"/>
      <c r="AC862" s="1171">
        <v>5500</v>
      </c>
      <c r="AD862" s="1171" t="s">
        <v>507</v>
      </c>
      <c r="AE862" s="2464"/>
      <c r="AF862" s="691"/>
      <c r="AG862" s="691"/>
      <c r="AH862" s="755"/>
      <c r="AI862" s="1171"/>
      <c r="AJ862" s="1171"/>
      <c r="AK862" s="750"/>
      <c r="AL862" s="757"/>
      <c r="AM862" s="247"/>
      <c r="AN862" s="1056"/>
      <c r="AO862" s="1056"/>
      <c r="AP862" s="1056"/>
      <c r="AQ862" s="1056"/>
      <c r="AR862" s="1056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</row>
    <row r="863" spans="1:86" s="53" customFormat="1" ht="22.5" hidden="1" customHeight="1" thickBot="1" x14ac:dyDescent="0.25">
      <c r="A863" s="543"/>
      <c r="B863" s="1407"/>
      <c r="C863" s="1781"/>
      <c r="D863" s="1452"/>
      <c r="E863" s="1403"/>
      <c r="F863" s="1452"/>
      <c r="G863" s="1403"/>
      <c r="H863" s="364"/>
      <c r="I863" s="364"/>
      <c r="J863" s="364"/>
      <c r="K863" s="364"/>
      <c r="L863" s="364"/>
      <c r="M863" s="364"/>
      <c r="N863" s="364"/>
      <c r="O863" s="364"/>
      <c r="P863" s="364"/>
      <c r="Q863" s="364"/>
      <c r="R863" s="364"/>
      <c r="S863" s="365"/>
      <c r="T863" s="366"/>
      <c r="U863" s="366"/>
      <c r="V863" s="366"/>
      <c r="W863" s="367"/>
      <c r="X863" s="368"/>
      <c r="Y863" s="369"/>
      <c r="Z863" s="1457"/>
      <c r="AA863" s="1765"/>
      <c r="AB863" s="754" t="s">
        <v>35</v>
      </c>
      <c r="AC863" s="1031">
        <v>8</v>
      </c>
      <c r="AD863" s="1031" t="s">
        <v>8</v>
      </c>
      <c r="AE863" s="2464"/>
      <c r="AF863" s="691"/>
      <c r="AG863" s="691"/>
      <c r="AH863" s="756"/>
      <c r="AI863" s="1171"/>
      <c r="AJ863" s="1171"/>
      <c r="AK863" s="750"/>
      <c r="AL863" s="757"/>
      <c r="AM863" s="247"/>
      <c r="AN863" s="1056"/>
      <c r="AO863" s="1056"/>
      <c r="AP863" s="1056"/>
      <c r="AQ863" s="1056"/>
      <c r="AR863" s="1056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</row>
    <row r="864" spans="1:86" s="53" customFormat="1" ht="22.5" customHeight="1" x14ac:dyDescent="0.2">
      <c r="A864" s="1395">
        <v>5</v>
      </c>
      <c r="B864" s="1296">
        <v>2240889</v>
      </c>
      <c r="C864" s="1808" t="s">
        <v>135</v>
      </c>
      <c r="D864" s="1450">
        <v>1</v>
      </c>
      <c r="E864" s="1401">
        <v>5000</v>
      </c>
      <c r="F864" s="1450">
        <v>1</v>
      </c>
      <c r="G864" s="1401">
        <v>5000</v>
      </c>
      <c r="H864" s="359"/>
      <c r="I864" s="359"/>
      <c r="J864" s="359"/>
      <c r="K864" s="359"/>
      <c r="L864" s="359"/>
      <c r="M864" s="359"/>
      <c r="N864" s="359"/>
      <c r="O864" s="359"/>
      <c r="P864" s="359"/>
      <c r="Q864" s="359"/>
      <c r="R864" s="359"/>
      <c r="S864" s="360"/>
      <c r="T864" s="361"/>
      <c r="U864" s="361"/>
      <c r="V864" s="361"/>
      <c r="W864" s="362"/>
      <c r="X864" s="359"/>
      <c r="Y864" s="363"/>
      <c r="Z864" s="1456" t="s">
        <v>441</v>
      </c>
      <c r="AA864" s="1401" t="s">
        <v>1556</v>
      </c>
      <c r="AB864" s="1766" t="s">
        <v>506</v>
      </c>
      <c r="AC864" s="2462">
        <v>1.1100000000000001</v>
      </c>
      <c r="AD864" s="371" t="s">
        <v>2</v>
      </c>
      <c r="AE864" s="2463">
        <v>9155.8921399999999</v>
      </c>
      <c r="AF864" s="691"/>
      <c r="AG864" s="691"/>
      <c r="AH864" s="755"/>
      <c r="AI864" s="753"/>
      <c r="AJ864" s="1171"/>
      <c r="AK864" s="750"/>
      <c r="AL864" s="247"/>
      <c r="AM864" s="1056"/>
      <c r="AN864" s="1056"/>
      <c r="AO864" s="1056"/>
      <c r="AP864" s="1056"/>
      <c r="AQ864" s="1056"/>
      <c r="AR864" s="1056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</row>
    <row r="865" spans="1:86" s="53" customFormat="1" ht="22.5" customHeight="1" thickBot="1" x14ac:dyDescent="0.25">
      <c r="A865" s="1406"/>
      <c r="B865" s="1351"/>
      <c r="C865" s="1531"/>
      <c r="D865" s="1451"/>
      <c r="E865" s="1402"/>
      <c r="F865" s="1451"/>
      <c r="G865" s="1402"/>
      <c r="H865" s="1056"/>
      <c r="I865" s="1056"/>
      <c r="J865" s="1056"/>
      <c r="K865" s="1056"/>
      <c r="L865" s="1056"/>
      <c r="M865" s="1056"/>
      <c r="N865" s="1056"/>
      <c r="O865" s="1056"/>
      <c r="P865" s="1056"/>
      <c r="Q865" s="1056"/>
      <c r="R865" s="1056"/>
      <c r="S865" s="296"/>
      <c r="T865" s="294"/>
      <c r="U865" s="294"/>
      <c r="V865" s="294"/>
      <c r="W865" s="84"/>
      <c r="X865" s="85"/>
      <c r="Y865" s="295"/>
      <c r="Z865" s="1458"/>
      <c r="AA865" s="1402"/>
      <c r="AB865" s="1767"/>
      <c r="AC865" s="1171">
        <v>5000</v>
      </c>
      <c r="AD865" s="1171" t="s">
        <v>507</v>
      </c>
      <c r="AE865" s="2465"/>
      <c r="AF865" s="691"/>
      <c r="AG865" s="691"/>
      <c r="AH865" s="755"/>
      <c r="AI865" s="1171"/>
      <c r="AJ865" s="1171"/>
      <c r="AK865" s="716"/>
      <c r="AL865" s="247"/>
      <c r="AM865" s="1056"/>
      <c r="AN865" s="1056"/>
      <c r="AO865" s="1056"/>
      <c r="AP865" s="1056"/>
      <c r="AQ865" s="1056"/>
      <c r="AR865" s="1056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</row>
    <row r="866" spans="1:86" s="53" customFormat="1" ht="22.5" hidden="1" customHeight="1" thickBot="1" x14ac:dyDescent="0.25">
      <c r="A866" s="543"/>
      <c r="B866" s="1407"/>
      <c r="C866" s="1809"/>
      <c r="D866" s="1452"/>
      <c r="E866" s="1403"/>
      <c r="F866" s="1452"/>
      <c r="G866" s="1403"/>
      <c r="H866" s="364"/>
      <c r="I866" s="364"/>
      <c r="J866" s="364"/>
      <c r="K866" s="364"/>
      <c r="L866" s="364"/>
      <c r="M866" s="364"/>
      <c r="N866" s="364"/>
      <c r="O866" s="364"/>
      <c r="P866" s="364"/>
      <c r="Q866" s="364"/>
      <c r="R866" s="364"/>
      <c r="S866" s="365"/>
      <c r="T866" s="366"/>
      <c r="U866" s="366"/>
      <c r="V866" s="366"/>
      <c r="W866" s="367"/>
      <c r="X866" s="368"/>
      <c r="Y866" s="369"/>
      <c r="Z866" s="1457"/>
      <c r="AA866" s="1403"/>
      <c r="AB866" s="372" t="s">
        <v>35</v>
      </c>
      <c r="AC866" s="373">
        <v>22</v>
      </c>
      <c r="AD866" s="373" t="s">
        <v>8</v>
      </c>
      <c r="AE866" s="2466"/>
      <c r="AF866" s="691"/>
      <c r="AG866" s="691"/>
      <c r="AH866" s="756"/>
      <c r="AI866" s="1171"/>
      <c r="AJ866" s="1171"/>
      <c r="AK866" s="716"/>
      <c r="AL866" s="247"/>
      <c r="AM866" s="1056"/>
      <c r="AN866" s="1056"/>
      <c r="AO866" s="1056"/>
      <c r="AP866" s="1056"/>
      <c r="AQ866" s="1056"/>
      <c r="AR866" s="1056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</row>
    <row r="867" spans="1:86" s="53" customFormat="1" ht="22.5" hidden="1" customHeight="1" x14ac:dyDescent="0.2">
      <c r="A867" s="1395">
        <v>8</v>
      </c>
      <c r="B867" s="963"/>
      <c r="C867" s="1412" t="s">
        <v>129</v>
      </c>
      <c r="D867" s="1429">
        <v>7.35</v>
      </c>
      <c r="E867" s="1399">
        <v>33075</v>
      </c>
      <c r="F867" s="1429">
        <v>7.35</v>
      </c>
      <c r="G867" s="1399">
        <v>33075</v>
      </c>
      <c r="H867" s="359"/>
      <c r="I867" s="359"/>
      <c r="J867" s="359"/>
      <c r="K867" s="359"/>
      <c r="L867" s="359"/>
      <c r="M867" s="359"/>
      <c r="N867" s="359"/>
      <c r="O867" s="359"/>
      <c r="P867" s="359"/>
      <c r="Q867" s="359"/>
      <c r="R867" s="359"/>
      <c r="S867" s="360"/>
      <c r="T867" s="361"/>
      <c r="U867" s="361"/>
      <c r="V867" s="361"/>
      <c r="W867" s="362"/>
      <c r="X867" s="359"/>
      <c r="Y867" s="363"/>
      <c r="Z867" s="1296"/>
      <c r="AA867" s="1296"/>
      <c r="AB867" s="1221"/>
      <c r="AC867" s="349"/>
      <c r="AD867" s="966"/>
      <c r="AE867" s="1739"/>
      <c r="AF867" s="1436" t="s">
        <v>628</v>
      </c>
      <c r="AG867" s="1436" t="s">
        <v>629</v>
      </c>
      <c r="AH867" s="1369" t="s">
        <v>495</v>
      </c>
      <c r="AI867" s="1000">
        <f>7.35-7.35</f>
        <v>0</v>
      </c>
      <c r="AJ867" s="934" t="s">
        <v>2</v>
      </c>
      <c r="AK867" s="2079">
        <f>36090+1899.474-37989.474</f>
        <v>0</v>
      </c>
      <c r="AL867" s="1056"/>
      <c r="AM867" s="1056"/>
      <c r="AN867" s="1056"/>
      <c r="AO867" s="1056"/>
      <c r="AP867" s="1056"/>
      <c r="AQ867" s="1056"/>
      <c r="AR867" s="1056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</row>
    <row r="868" spans="1:86" s="53" customFormat="1" ht="22.5" hidden="1" customHeight="1" x14ac:dyDescent="0.2">
      <c r="A868" s="1406"/>
      <c r="B868" s="933">
        <v>3405484</v>
      </c>
      <c r="C868" s="1413"/>
      <c r="D868" s="1430"/>
      <c r="E868" s="1400"/>
      <c r="F868" s="1430"/>
      <c r="G868" s="1400"/>
      <c r="H868" s="1056"/>
      <c r="I868" s="1056"/>
      <c r="J868" s="1056"/>
      <c r="K868" s="1056"/>
      <c r="L868" s="1056"/>
      <c r="M868" s="1056"/>
      <c r="N868" s="1056"/>
      <c r="O868" s="1056"/>
      <c r="P868" s="1056"/>
      <c r="Q868" s="1056"/>
      <c r="R868" s="1056"/>
      <c r="S868" s="296"/>
      <c r="T868" s="294"/>
      <c r="U868" s="294"/>
      <c r="V868" s="294"/>
      <c r="W868" s="84"/>
      <c r="X868" s="85"/>
      <c r="Y868" s="295"/>
      <c r="Z868" s="1351"/>
      <c r="AA868" s="1351"/>
      <c r="AB868" s="1235"/>
      <c r="AC868" s="967"/>
      <c r="AD868" s="967"/>
      <c r="AE868" s="1740"/>
      <c r="AF868" s="1351"/>
      <c r="AG868" s="1351"/>
      <c r="AH868" s="1235"/>
      <c r="AI868" s="967">
        <v>33075</v>
      </c>
      <c r="AJ868" s="967" t="s">
        <v>4</v>
      </c>
      <c r="AK868" s="1438"/>
      <c r="AL868" s="1056"/>
      <c r="AM868" s="1056"/>
      <c r="AN868" s="1056"/>
      <c r="AO868" s="1056"/>
      <c r="AP868" s="1056"/>
      <c r="AQ868" s="1056"/>
      <c r="AR868" s="1056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</row>
    <row r="869" spans="1:86" s="53" customFormat="1" ht="22.5" hidden="1" customHeight="1" thickBot="1" x14ac:dyDescent="0.25">
      <c r="A869" s="543"/>
      <c r="B869" s="1067"/>
      <c r="C869" s="1414"/>
      <c r="D869" s="1614"/>
      <c r="E869" s="1434"/>
      <c r="F869" s="1614"/>
      <c r="G869" s="1434"/>
      <c r="H869" s="364"/>
      <c r="I869" s="364"/>
      <c r="J869" s="364"/>
      <c r="K869" s="364"/>
      <c r="L869" s="364"/>
      <c r="M869" s="364"/>
      <c r="N869" s="364"/>
      <c r="O869" s="364"/>
      <c r="P869" s="364"/>
      <c r="Q869" s="364"/>
      <c r="R869" s="364"/>
      <c r="S869" s="365"/>
      <c r="T869" s="366"/>
      <c r="U869" s="366"/>
      <c r="V869" s="366"/>
      <c r="W869" s="367"/>
      <c r="X869" s="368"/>
      <c r="Y869" s="369"/>
      <c r="Z869" s="1407"/>
      <c r="AA869" s="1407"/>
      <c r="AB869" s="886"/>
      <c r="AC869" s="1107"/>
      <c r="AD869" s="1107"/>
      <c r="AE869" s="2535"/>
      <c r="AF869" s="1851"/>
      <c r="AG869" s="1851"/>
      <c r="AH869" s="876" t="s">
        <v>35</v>
      </c>
      <c r="AI869" s="932">
        <v>15</v>
      </c>
      <c r="AJ869" s="932" t="s">
        <v>8</v>
      </c>
      <c r="AK869" s="1438"/>
      <c r="AL869" s="1056"/>
      <c r="AM869" s="1056"/>
      <c r="AN869" s="1056"/>
      <c r="AO869" s="1056"/>
      <c r="AP869" s="1056"/>
      <c r="AQ869" s="1056"/>
      <c r="AR869" s="1056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</row>
    <row r="870" spans="1:86" s="53" customFormat="1" ht="22.5" customHeight="1" x14ac:dyDescent="0.2">
      <c r="A870" s="1395">
        <v>6</v>
      </c>
      <c r="B870" s="1296">
        <v>3405522</v>
      </c>
      <c r="C870" s="1412" t="s">
        <v>511</v>
      </c>
      <c r="D870" s="1429">
        <v>1.2</v>
      </c>
      <c r="E870" s="1399">
        <v>5400</v>
      </c>
      <c r="F870" s="1429">
        <v>1.2</v>
      </c>
      <c r="G870" s="1399">
        <v>5400</v>
      </c>
      <c r="H870" s="359"/>
      <c r="I870" s="359"/>
      <c r="J870" s="359"/>
      <c r="K870" s="359"/>
      <c r="L870" s="359"/>
      <c r="M870" s="359"/>
      <c r="N870" s="359"/>
      <c r="O870" s="359"/>
      <c r="P870" s="359"/>
      <c r="Q870" s="359"/>
      <c r="R870" s="359"/>
      <c r="S870" s="360"/>
      <c r="T870" s="361"/>
      <c r="U870" s="361"/>
      <c r="V870" s="361"/>
      <c r="W870" s="362"/>
      <c r="X870" s="359"/>
      <c r="Y870" s="363"/>
      <c r="Z870" s="1456" t="s">
        <v>441</v>
      </c>
      <c r="AA870" s="1296" t="s">
        <v>1557</v>
      </c>
      <c r="AB870" s="1221" t="s">
        <v>495</v>
      </c>
      <c r="AC870" s="349">
        <v>1.2170000000000001</v>
      </c>
      <c r="AD870" s="966" t="s">
        <v>2</v>
      </c>
      <c r="AE870" s="2463">
        <v>12870.965679999999</v>
      </c>
      <c r="AF870" s="288"/>
      <c r="AG870" s="288"/>
      <c r="AH870" s="302"/>
      <c r="AI870" s="162"/>
      <c r="AJ870" s="967"/>
      <c r="AK870" s="750"/>
      <c r="AL870" s="354"/>
      <c r="AM870" s="1056"/>
      <c r="AN870" s="1056"/>
      <c r="AO870" s="1056"/>
      <c r="AP870" s="1056"/>
      <c r="AQ870" s="1056"/>
      <c r="AR870" s="1056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</row>
    <row r="871" spans="1:86" s="53" customFormat="1" ht="22.5" customHeight="1" thickBot="1" x14ac:dyDescent="0.25">
      <c r="A871" s="1406"/>
      <c r="B871" s="1298"/>
      <c r="C871" s="1413"/>
      <c r="D871" s="1430"/>
      <c r="E871" s="1400"/>
      <c r="F871" s="1430"/>
      <c r="G871" s="1400"/>
      <c r="H871" s="1056"/>
      <c r="I871" s="1056"/>
      <c r="J871" s="1056"/>
      <c r="K871" s="1056"/>
      <c r="L871" s="1056"/>
      <c r="M871" s="1056"/>
      <c r="N871" s="1056"/>
      <c r="O871" s="1056"/>
      <c r="P871" s="1056"/>
      <c r="Q871" s="1056"/>
      <c r="R871" s="1056"/>
      <c r="S871" s="296"/>
      <c r="T871" s="294"/>
      <c r="U871" s="294"/>
      <c r="V871" s="294"/>
      <c r="W871" s="84"/>
      <c r="X871" s="85"/>
      <c r="Y871" s="295"/>
      <c r="Z871" s="1458"/>
      <c r="AA871" s="1351"/>
      <c r="AB871" s="1235"/>
      <c r="AC871" s="967">
        <v>5400</v>
      </c>
      <c r="AD871" s="967" t="s">
        <v>4</v>
      </c>
      <c r="AE871" s="2467"/>
      <c r="AF871" s="288"/>
      <c r="AG871" s="288"/>
      <c r="AH871" s="302"/>
      <c r="AI871" s="967"/>
      <c r="AJ871" s="967"/>
      <c r="AK871" s="716"/>
      <c r="AL871" s="247"/>
      <c r="AM871" s="1056"/>
      <c r="AN871" s="1056"/>
      <c r="AO871" s="1056"/>
      <c r="AP871" s="1056"/>
      <c r="AQ871" s="1056"/>
      <c r="AR871" s="1056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</row>
    <row r="872" spans="1:86" s="53" customFormat="1" ht="22.5" hidden="1" customHeight="1" thickBot="1" x14ac:dyDescent="0.25">
      <c r="A872" s="543"/>
      <c r="B872" s="1248"/>
      <c r="C872" s="1414"/>
      <c r="D872" s="1614"/>
      <c r="E872" s="1434"/>
      <c r="F872" s="1614"/>
      <c r="G872" s="1434"/>
      <c r="H872" s="364"/>
      <c r="I872" s="364"/>
      <c r="J872" s="364"/>
      <c r="K872" s="364"/>
      <c r="L872" s="364"/>
      <c r="M872" s="364"/>
      <c r="N872" s="364"/>
      <c r="O872" s="364"/>
      <c r="P872" s="364"/>
      <c r="Q872" s="364"/>
      <c r="R872" s="364"/>
      <c r="S872" s="365"/>
      <c r="T872" s="366"/>
      <c r="U872" s="366"/>
      <c r="V872" s="366"/>
      <c r="W872" s="367"/>
      <c r="X872" s="368"/>
      <c r="Y872" s="369"/>
      <c r="Z872" s="1457"/>
      <c r="AA872" s="1407"/>
      <c r="AB872" s="886" t="s">
        <v>35</v>
      </c>
      <c r="AC872" s="1107">
        <v>6</v>
      </c>
      <c r="AD872" s="1107" t="s">
        <v>8</v>
      </c>
      <c r="AE872" s="2466"/>
      <c r="AF872" s="288"/>
      <c r="AG872" s="288"/>
      <c r="AH872" s="874"/>
      <c r="AI872" s="967"/>
      <c r="AJ872" s="967"/>
      <c r="AK872" s="716"/>
      <c r="AL872" s="247"/>
      <c r="AM872" s="1056"/>
      <c r="AN872" s="1056"/>
      <c r="AO872" s="1056"/>
      <c r="AP872" s="1056"/>
      <c r="AQ872" s="1056"/>
      <c r="AR872" s="1056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</row>
    <row r="873" spans="1:86" s="53" customFormat="1" ht="22.5" customHeight="1" x14ac:dyDescent="0.2">
      <c r="A873" s="1395">
        <v>7</v>
      </c>
      <c r="B873" s="1401">
        <v>3405472</v>
      </c>
      <c r="C873" s="1412" t="s">
        <v>131</v>
      </c>
      <c r="D873" s="1429">
        <v>1.98</v>
      </c>
      <c r="E873" s="1399">
        <v>8910</v>
      </c>
      <c r="F873" s="1429">
        <v>1.98</v>
      </c>
      <c r="G873" s="1399">
        <v>8910</v>
      </c>
      <c r="H873" s="359"/>
      <c r="I873" s="359"/>
      <c r="J873" s="359"/>
      <c r="K873" s="359"/>
      <c r="L873" s="359"/>
      <c r="M873" s="359"/>
      <c r="N873" s="359"/>
      <c r="O873" s="359"/>
      <c r="P873" s="359"/>
      <c r="Q873" s="359"/>
      <c r="R873" s="359"/>
      <c r="S873" s="360"/>
      <c r="T873" s="361"/>
      <c r="U873" s="361"/>
      <c r="V873" s="361"/>
      <c r="W873" s="362"/>
      <c r="X873" s="359"/>
      <c r="Y873" s="363"/>
      <c r="Z873" s="288"/>
      <c r="AA873" s="691"/>
      <c r="AB873" s="302"/>
      <c r="AC873" s="162"/>
      <c r="AD873" s="967"/>
      <c r="AE873" s="339"/>
      <c r="AF873" s="2074" t="s">
        <v>504</v>
      </c>
      <c r="AG873" s="2072" t="s">
        <v>497</v>
      </c>
      <c r="AH873" s="1329" t="s">
        <v>495</v>
      </c>
      <c r="AI873" s="1000">
        <v>1.98</v>
      </c>
      <c r="AJ873" s="934" t="s">
        <v>2</v>
      </c>
      <c r="AK873" s="2079">
        <v>23000</v>
      </c>
      <c r="AL873" s="295"/>
      <c r="AM873" s="1056"/>
      <c r="AN873" s="1056"/>
      <c r="AO873" s="1056"/>
      <c r="AP873" s="1056"/>
      <c r="AQ873" s="1056"/>
      <c r="AR873" s="1056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</row>
    <row r="874" spans="1:86" s="53" customFormat="1" ht="22.5" customHeight="1" thickBot="1" x14ac:dyDescent="0.25">
      <c r="A874" s="1406"/>
      <c r="B874" s="1775"/>
      <c r="C874" s="1413"/>
      <c r="D874" s="1430"/>
      <c r="E874" s="1400"/>
      <c r="F874" s="1430"/>
      <c r="G874" s="1400"/>
      <c r="H874" s="1056"/>
      <c r="I874" s="1056"/>
      <c r="J874" s="1056"/>
      <c r="K874" s="1056"/>
      <c r="L874" s="1056"/>
      <c r="M874" s="1056"/>
      <c r="N874" s="1056"/>
      <c r="O874" s="1056"/>
      <c r="P874" s="1056"/>
      <c r="Q874" s="1056"/>
      <c r="R874" s="1056"/>
      <c r="S874" s="296"/>
      <c r="T874" s="294"/>
      <c r="U874" s="294"/>
      <c r="V874" s="294"/>
      <c r="W874" s="84"/>
      <c r="X874" s="85"/>
      <c r="Y874" s="295"/>
      <c r="Z874" s="288"/>
      <c r="AA874" s="692"/>
      <c r="AB874" s="302"/>
      <c r="AC874" s="967"/>
      <c r="AD874" s="967"/>
      <c r="AE874" s="654"/>
      <c r="AF874" s="2075"/>
      <c r="AG874" s="1775"/>
      <c r="AH874" s="1235"/>
      <c r="AI874" s="967">
        <v>8910</v>
      </c>
      <c r="AJ874" s="967" t="s">
        <v>4</v>
      </c>
      <c r="AK874" s="1438"/>
      <c r="AL874" s="1056"/>
      <c r="AM874" s="1056"/>
      <c r="AN874" s="1056"/>
      <c r="AO874" s="1056"/>
      <c r="AP874" s="1056"/>
      <c r="AQ874" s="1056"/>
      <c r="AR874" s="1056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</row>
    <row r="875" spans="1:86" s="53" customFormat="1" ht="22.5" hidden="1" customHeight="1" thickBot="1" x14ac:dyDescent="0.25">
      <c r="A875" s="543"/>
      <c r="B875" s="1855"/>
      <c r="C875" s="1414"/>
      <c r="D875" s="1614"/>
      <c r="E875" s="1434"/>
      <c r="F875" s="1614"/>
      <c r="G875" s="1434"/>
      <c r="H875" s="364"/>
      <c r="I875" s="364"/>
      <c r="J875" s="364"/>
      <c r="K875" s="364"/>
      <c r="L875" s="364"/>
      <c r="M875" s="364"/>
      <c r="N875" s="364"/>
      <c r="O875" s="364"/>
      <c r="P875" s="364"/>
      <c r="Q875" s="364"/>
      <c r="R875" s="364"/>
      <c r="S875" s="365"/>
      <c r="T875" s="366"/>
      <c r="U875" s="366"/>
      <c r="V875" s="366"/>
      <c r="W875" s="367"/>
      <c r="X875" s="368"/>
      <c r="Y875" s="369"/>
      <c r="Z875" s="288"/>
      <c r="AA875" s="692"/>
      <c r="AB875" s="874"/>
      <c r="AC875" s="967"/>
      <c r="AD875" s="967"/>
      <c r="AE875" s="654"/>
      <c r="AF875" s="2074"/>
      <c r="AG875" s="2073"/>
      <c r="AH875" s="876" t="s">
        <v>35</v>
      </c>
      <c r="AI875" s="932">
        <v>12</v>
      </c>
      <c r="AJ875" s="932" t="s">
        <v>8</v>
      </c>
      <c r="AK875" s="1438"/>
      <c r="AL875" s="1056"/>
      <c r="AM875" s="1056"/>
      <c r="AN875" s="1056"/>
      <c r="AO875" s="1056"/>
      <c r="AP875" s="1056"/>
      <c r="AQ875" s="1056"/>
      <c r="AR875" s="1056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</row>
    <row r="876" spans="1:86" s="53" customFormat="1" ht="22.5" hidden="1" customHeight="1" x14ac:dyDescent="0.2">
      <c r="A876" s="1395">
        <v>7</v>
      </c>
      <c r="B876" s="1401">
        <v>3405467</v>
      </c>
      <c r="C876" s="1412" t="s">
        <v>132</v>
      </c>
      <c r="D876" s="1429">
        <v>1.3819999999999999</v>
      </c>
      <c r="E876" s="1399">
        <v>6210</v>
      </c>
      <c r="F876" s="1429">
        <v>1.3819999999999999</v>
      </c>
      <c r="G876" s="1399">
        <v>6210</v>
      </c>
      <c r="H876" s="359"/>
      <c r="I876" s="359"/>
      <c r="J876" s="359"/>
      <c r="K876" s="359"/>
      <c r="L876" s="359"/>
      <c r="M876" s="359"/>
      <c r="N876" s="359"/>
      <c r="O876" s="359"/>
      <c r="P876" s="359"/>
      <c r="Q876" s="359"/>
      <c r="R876" s="359"/>
      <c r="S876" s="360"/>
      <c r="T876" s="361"/>
      <c r="U876" s="361"/>
      <c r="V876" s="361"/>
      <c r="W876" s="362"/>
      <c r="X876" s="359"/>
      <c r="Y876" s="363"/>
      <c r="Z876" s="288"/>
      <c r="AA876" s="288"/>
      <c r="AB876" s="302"/>
      <c r="AC876" s="162"/>
      <c r="AD876" s="967"/>
      <c r="AE876" s="339"/>
      <c r="AF876" s="288"/>
      <c r="AG876" s="288"/>
      <c r="AH876" s="302"/>
      <c r="AI876" s="162"/>
      <c r="AJ876" s="967"/>
      <c r="AK876" s="750"/>
      <c r="AL876" s="1743"/>
      <c r="AM876" s="1296" t="s">
        <v>1378</v>
      </c>
      <c r="AN876" s="1221" t="s">
        <v>495</v>
      </c>
      <c r="AO876" s="349">
        <v>1.3819999999999999</v>
      </c>
      <c r="AP876" s="966" t="s">
        <v>2</v>
      </c>
      <c r="AQ876" s="1437">
        <f>AO876*8000</f>
        <v>11056</v>
      </c>
      <c r="AR876" s="29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</row>
    <row r="877" spans="1:86" s="53" customFormat="1" ht="22.5" hidden="1" customHeight="1" thickBot="1" x14ac:dyDescent="0.25">
      <c r="A877" s="1406"/>
      <c r="B877" s="1775"/>
      <c r="C877" s="1413"/>
      <c r="D877" s="1430"/>
      <c r="E877" s="1400"/>
      <c r="F877" s="1430"/>
      <c r="G877" s="1400"/>
      <c r="H877" s="1056"/>
      <c r="I877" s="1056"/>
      <c r="J877" s="1056"/>
      <c r="K877" s="1056"/>
      <c r="L877" s="1056"/>
      <c r="M877" s="1056"/>
      <c r="N877" s="1056"/>
      <c r="O877" s="1056"/>
      <c r="P877" s="1056"/>
      <c r="Q877" s="1056"/>
      <c r="R877" s="1056"/>
      <c r="S877" s="296"/>
      <c r="T877" s="294"/>
      <c r="U877" s="294"/>
      <c r="V877" s="294"/>
      <c r="W877" s="84"/>
      <c r="X877" s="85"/>
      <c r="Y877" s="295"/>
      <c r="Z877" s="692"/>
      <c r="AA877" s="288"/>
      <c r="AB877" s="302"/>
      <c r="AC877" s="967"/>
      <c r="AD877" s="967"/>
      <c r="AE877" s="654"/>
      <c r="AF877" s="692"/>
      <c r="AG877" s="288"/>
      <c r="AH877" s="302"/>
      <c r="AI877" s="967"/>
      <c r="AJ877" s="967"/>
      <c r="AK877" s="716"/>
      <c r="AL877" s="1744"/>
      <c r="AM877" s="1351"/>
      <c r="AN877" s="1235"/>
      <c r="AO877" s="967">
        <v>6210</v>
      </c>
      <c r="AP877" s="967" t="s">
        <v>4</v>
      </c>
      <c r="AQ877" s="1438"/>
      <c r="AR877" s="1056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</row>
    <row r="878" spans="1:86" s="53" customFormat="1" ht="22.5" hidden="1" customHeight="1" thickBot="1" x14ac:dyDescent="0.25">
      <c r="A878" s="1395">
        <v>8</v>
      </c>
      <c r="B878" s="1775"/>
      <c r="C878" s="1413"/>
      <c r="D878" s="1430"/>
      <c r="E878" s="1400"/>
      <c r="F878" s="1430"/>
      <c r="G878" s="1400"/>
      <c r="H878" s="364"/>
      <c r="I878" s="364"/>
      <c r="J878" s="364"/>
      <c r="K878" s="364"/>
      <c r="L878" s="364"/>
      <c r="M878" s="364"/>
      <c r="N878" s="364"/>
      <c r="O878" s="364"/>
      <c r="P878" s="364"/>
      <c r="Q878" s="364"/>
      <c r="R878" s="364"/>
      <c r="S878" s="365"/>
      <c r="T878" s="366"/>
      <c r="U878" s="366"/>
      <c r="V878" s="366"/>
      <c r="W878" s="367"/>
      <c r="X878" s="368"/>
      <c r="Y878" s="369"/>
      <c r="Z878" s="681"/>
      <c r="AA878" s="297"/>
      <c r="AB878" s="894"/>
      <c r="AC878" s="934"/>
      <c r="AD878" s="934"/>
      <c r="AE878" s="682"/>
      <c r="AF878" s="692"/>
      <c r="AG878" s="288"/>
      <c r="AH878" s="874"/>
      <c r="AI878" s="967"/>
      <c r="AJ878" s="967"/>
      <c r="AK878" s="716"/>
      <c r="AL878" s="1745"/>
      <c r="AM878" s="1436"/>
      <c r="AN878" s="876" t="s">
        <v>35</v>
      </c>
      <c r="AO878" s="932">
        <v>4</v>
      </c>
      <c r="AP878" s="932" t="s">
        <v>8</v>
      </c>
      <c r="AQ878" s="1438"/>
      <c r="AR878" s="1056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</row>
    <row r="879" spans="1:86" s="53" customFormat="1" ht="22.5" hidden="1" customHeight="1" x14ac:dyDescent="0.2">
      <c r="A879" s="1560"/>
      <c r="B879" s="1853">
        <v>3405495</v>
      </c>
      <c r="C879" s="1723" t="s">
        <v>630</v>
      </c>
      <c r="D879" s="1404">
        <v>3.7349999999999999</v>
      </c>
      <c r="E879" s="1405">
        <f>D879*5000</f>
        <v>18675</v>
      </c>
      <c r="F879" s="1404">
        <v>1.5</v>
      </c>
      <c r="G879" s="1405">
        <v>7500</v>
      </c>
      <c r="H879" s="1056"/>
      <c r="I879" s="1056"/>
      <c r="J879" s="1056"/>
      <c r="K879" s="1056"/>
      <c r="L879" s="1056"/>
      <c r="M879" s="1056"/>
      <c r="N879" s="1056"/>
      <c r="O879" s="1056"/>
      <c r="P879" s="1056"/>
      <c r="Q879" s="1056"/>
      <c r="R879" s="1056"/>
      <c r="S879" s="296"/>
      <c r="T879" s="294"/>
      <c r="U879" s="294"/>
      <c r="V879" s="294"/>
      <c r="W879" s="83"/>
      <c r="X879" s="1056"/>
      <c r="Y879" s="295"/>
      <c r="Z879" s="85"/>
      <c r="AA879" s="85"/>
      <c r="AB879" s="85"/>
      <c r="AC879" s="85"/>
      <c r="AD879" s="85"/>
      <c r="AE879" s="85"/>
      <c r="AF879" s="214"/>
      <c r="AG879" s="214"/>
      <c r="AH879" s="249"/>
      <c r="AI879" s="241"/>
      <c r="AJ879" s="1044"/>
      <c r="AK879" s="688"/>
      <c r="AL879" s="1439"/>
      <c r="AM879" s="1439" t="s">
        <v>509</v>
      </c>
      <c r="AN879" s="1440" t="s">
        <v>495</v>
      </c>
      <c r="AO879" s="241">
        <v>1.5</v>
      </c>
      <c r="AP879" s="1044" t="s">
        <v>2</v>
      </c>
      <c r="AQ879" s="1441">
        <v>7830</v>
      </c>
      <c r="AR879" s="246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</row>
    <row r="880" spans="1:86" s="53" customFormat="1" ht="22.5" hidden="1" customHeight="1" x14ac:dyDescent="0.2">
      <c r="A880" s="1560"/>
      <c r="B880" s="1854"/>
      <c r="C880" s="1723"/>
      <c r="D880" s="1404"/>
      <c r="E880" s="1405"/>
      <c r="F880" s="1404"/>
      <c r="G880" s="1405"/>
      <c r="H880" s="1056"/>
      <c r="I880" s="1056"/>
      <c r="J880" s="1056"/>
      <c r="K880" s="1056"/>
      <c r="L880" s="1056"/>
      <c r="M880" s="1056"/>
      <c r="N880" s="1056"/>
      <c r="O880" s="1056"/>
      <c r="P880" s="1056"/>
      <c r="Q880" s="1056"/>
      <c r="R880" s="1056"/>
      <c r="S880" s="296"/>
      <c r="T880" s="294"/>
      <c r="U880" s="294"/>
      <c r="V880" s="294"/>
      <c r="W880" s="84"/>
      <c r="X880" s="85"/>
      <c r="Y880" s="295"/>
      <c r="Z880" s="1056"/>
      <c r="AA880" s="1056"/>
      <c r="AB880" s="1056"/>
      <c r="AC880" s="1056"/>
      <c r="AD880" s="1056"/>
      <c r="AE880" s="1056"/>
      <c r="AF880" s="214"/>
      <c r="AG880" s="214"/>
      <c r="AH880" s="249"/>
      <c r="AI880" s="1044"/>
      <c r="AJ880" s="1044"/>
      <c r="AK880" s="688"/>
      <c r="AL880" s="1439"/>
      <c r="AM880" s="1439"/>
      <c r="AN880" s="1440"/>
      <c r="AO880" s="1044">
        <v>7500</v>
      </c>
      <c r="AP880" s="1044" t="s">
        <v>4</v>
      </c>
      <c r="AQ880" s="1441"/>
      <c r="AR880" s="8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</row>
    <row r="881" spans="1:86" s="53" customFormat="1" ht="22.5" hidden="1" customHeight="1" thickBot="1" x14ac:dyDescent="0.25">
      <c r="A881" s="1396"/>
      <c r="B881" s="1854"/>
      <c r="C881" s="1723"/>
      <c r="D881" s="1404"/>
      <c r="E881" s="1405"/>
      <c r="F881" s="1404"/>
      <c r="G881" s="1405"/>
      <c r="H881" s="1056"/>
      <c r="I881" s="1056"/>
      <c r="J881" s="1056"/>
      <c r="K881" s="1056"/>
      <c r="L881" s="1056"/>
      <c r="M881" s="1056"/>
      <c r="N881" s="1056"/>
      <c r="O881" s="1056"/>
      <c r="P881" s="1056"/>
      <c r="Q881" s="1056"/>
      <c r="R881" s="1056"/>
      <c r="S881" s="296"/>
      <c r="T881" s="294"/>
      <c r="U881" s="294"/>
      <c r="V881" s="294"/>
      <c r="W881" s="84"/>
      <c r="X881" s="85"/>
      <c r="Y881" s="295"/>
      <c r="Z881" s="1056"/>
      <c r="AA881" s="1056"/>
      <c r="AB881" s="1056"/>
      <c r="AC881" s="1056"/>
      <c r="AD881" s="1056"/>
      <c r="AE881" s="1056"/>
      <c r="AF881" s="214"/>
      <c r="AG881" s="214"/>
      <c r="AH881" s="1040"/>
      <c r="AI881" s="1044"/>
      <c r="AJ881" s="1044"/>
      <c r="AK881" s="688"/>
      <c r="AL881" s="1439"/>
      <c r="AM881" s="1439"/>
      <c r="AN881" s="1040" t="s">
        <v>35</v>
      </c>
      <c r="AO881" s="1044">
        <v>12</v>
      </c>
      <c r="AP881" s="1044" t="s">
        <v>8</v>
      </c>
      <c r="AQ881" s="1441"/>
      <c r="AR881" s="8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</row>
    <row r="882" spans="1:86" s="53" customFormat="1" ht="22.5" customHeight="1" x14ac:dyDescent="0.2">
      <c r="A882" s="1395">
        <v>8</v>
      </c>
      <c r="B882" s="1462">
        <v>3405456</v>
      </c>
      <c r="C882" s="1660" t="s">
        <v>631</v>
      </c>
      <c r="D882" s="1868">
        <v>1.05</v>
      </c>
      <c r="E882" s="1866">
        <v>5250</v>
      </c>
      <c r="F882" s="1868">
        <v>1.05</v>
      </c>
      <c r="G882" s="1866">
        <v>5250</v>
      </c>
      <c r="H882" s="1056"/>
      <c r="I882" s="1056"/>
      <c r="J882" s="1056"/>
      <c r="K882" s="1056"/>
      <c r="L882" s="1056"/>
      <c r="M882" s="1056"/>
      <c r="N882" s="1056"/>
      <c r="O882" s="1056"/>
      <c r="P882" s="1056"/>
      <c r="Q882" s="1056"/>
      <c r="R882" s="1056"/>
      <c r="S882" s="296"/>
      <c r="T882" s="294"/>
      <c r="U882" s="294"/>
      <c r="V882" s="294"/>
      <c r="W882" s="84"/>
      <c r="X882" s="85"/>
      <c r="Y882" s="295"/>
      <c r="Z882" s="1056"/>
      <c r="AA882" s="1056"/>
      <c r="AB882" s="1056"/>
      <c r="AC882" s="1056"/>
      <c r="AD882" s="1056"/>
      <c r="AE882" s="1056"/>
      <c r="AF882" s="1355" t="s">
        <v>504</v>
      </c>
      <c r="AG882" s="1355" t="s">
        <v>510</v>
      </c>
      <c r="AH882" s="1500" t="s">
        <v>495</v>
      </c>
      <c r="AI882" s="241">
        <v>1.05</v>
      </c>
      <c r="AJ882" s="1044" t="s">
        <v>2</v>
      </c>
      <c r="AK882" s="2047">
        <v>11000</v>
      </c>
      <c r="AL882" s="295"/>
      <c r="AM882" s="214"/>
      <c r="AN882" s="249"/>
      <c r="AO882" s="241"/>
      <c r="AP882" s="1044"/>
      <c r="AQ882" s="250"/>
      <c r="AR882" s="29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</row>
    <row r="883" spans="1:86" s="53" customFormat="1" ht="22.5" customHeight="1" x14ac:dyDescent="0.2">
      <c r="A883" s="1406"/>
      <c r="B883" s="1775"/>
      <c r="C883" s="1413"/>
      <c r="D883" s="1430"/>
      <c r="E883" s="1400"/>
      <c r="F883" s="1430"/>
      <c r="G883" s="1400"/>
      <c r="H883" s="1056"/>
      <c r="I883" s="1056"/>
      <c r="J883" s="1056"/>
      <c r="K883" s="1056"/>
      <c r="L883" s="1056"/>
      <c r="M883" s="1056"/>
      <c r="N883" s="1056"/>
      <c r="O883" s="1056"/>
      <c r="P883" s="1056"/>
      <c r="Q883" s="1056"/>
      <c r="R883" s="1056"/>
      <c r="S883" s="296"/>
      <c r="T883" s="294"/>
      <c r="U883" s="294"/>
      <c r="V883" s="294"/>
      <c r="W883" s="84"/>
      <c r="X883" s="85"/>
      <c r="Y883" s="295"/>
      <c r="Z883" s="1056"/>
      <c r="AA883" s="1056"/>
      <c r="AB883" s="1056"/>
      <c r="AC883" s="1056"/>
      <c r="AD883" s="1056"/>
      <c r="AE883" s="1056"/>
      <c r="AF883" s="1507"/>
      <c r="AG883" s="1507"/>
      <c r="AH883" s="1502"/>
      <c r="AI883" s="1044">
        <v>5250</v>
      </c>
      <c r="AJ883" s="1044" t="s">
        <v>4</v>
      </c>
      <c r="AK883" s="2065"/>
      <c r="AL883" s="1056"/>
      <c r="AM883" s="214"/>
      <c r="AN883" s="249"/>
      <c r="AO883" s="1044"/>
      <c r="AP883" s="1044"/>
      <c r="AQ883" s="250"/>
      <c r="AR883" s="1056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</row>
    <row r="884" spans="1:86" s="53" customFormat="1" ht="22.5" hidden="1" customHeight="1" x14ac:dyDescent="0.2">
      <c r="A884" s="1395">
        <v>13</v>
      </c>
      <c r="B884" s="1776"/>
      <c r="C884" s="1661"/>
      <c r="D884" s="1869"/>
      <c r="E884" s="1867"/>
      <c r="F884" s="1869"/>
      <c r="G884" s="1867"/>
      <c r="H884" s="1056"/>
      <c r="I884" s="1056"/>
      <c r="J884" s="1056"/>
      <c r="K884" s="1056"/>
      <c r="L884" s="1056"/>
      <c r="M884" s="1056"/>
      <c r="N884" s="1056"/>
      <c r="O884" s="1056"/>
      <c r="P884" s="1056"/>
      <c r="Q884" s="1056"/>
      <c r="R884" s="1056"/>
      <c r="S884" s="296"/>
      <c r="T884" s="294"/>
      <c r="U884" s="294"/>
      <c r="V884" s="294"/>
      <c r="W884" s="84"/>
      <c r="X884" s="85"/>
      <c r="Y884" s="295"/>
      <c r="Z884" s="1056"/>
      <c r="AA884" s="1056"/>
      <c r="AB884" s="1056"/>
      <c r="AC884" s="1056"/>
      <c r="AD884" s="1056"/>
      <c r="AE884" s="1056"/>
      <c r="AF884" s="1356"/>
      <c r="AG884" s="1356"/>
      <c r="AH884" s="1040" t="s">
        <v>35</v>
      </c>
      <c r="AI884" s="1044">
        <v>8</v>
      </c>
      <c r="AJ884" s="1044" t="s">
        <v>8</v>
      </c>
      <c r="AK884" s="2066"/>
      <c r="AL884" s="1056"/>
      <c r="AM884" s="214"/>
      <c r="AN884" s="1040"/>
      <c r="AO884" s="1044"/>
      <c r="AP884" s="1044"/>
      <c r="AQ884" s="250"/>
      <c r="AR884" s="1056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</row>
    <row r="885" spans="1:86" s="53" customFormat="1" ht="22.5" hidden="1" customHeight="1" x14ac:dyDescent="0.2">
      <c r="A885" s="1560"/>
      <c r="B885" s="1841">
        <v>2242583</v>
      </c>
      <c r="C885" s="1464" t="s">
        <v>670</v>
      </c>
      <c r="D885" s="1467">
        <v>0.81599999999999995</v>
      </c>
      <c r="E885" s="1871">
        <v>3600</v>
      </c>
      <c r="F885" s="1467">
        <v>0.81599999999999995</v>
      </c>
      <c r="G885" s="1871">
        <v>3600</v>
      </c>
      <c r="H885" s="1056"/>
      <c r="I885" s="1056"/>
      <c r="J885" s="1056"/>
      <c r="K885" s="1056"/>
      <c r="L885" s="1056"/>
      <c r="M885" s="1056"/>
      <c r="N885" s="1056"/>
      <c r="O885" s="1056"/>
      <c r="P885" s="1056"/>
      <c r="Q885" s="1056"/>
      <c r="R885" s="1056"/>
      <c r="S885" s="296"/>
      <c r="T885" s="294"/>
      <c r="U885" s="294"/>
      <c r="V885" s="294"/>
      <c r="W885" s="84"/>
      <c r="X885" s="85"/>
      <c r="Y885" s="295"/>
      <c r="Z885" s="1035"/>
      <c r="AA885" s="1035"/>
      <c r="AB885" s="1154"/>
      <c r="AC885" s="917"/>
      <c r="AD885" s="917"/>
      <c r="AE885" s="1035"/>
      <c r="AF885" s="1500" t="s">
        <v>504</v>
      </c>
      <c r="AG885" s="1500" t="s">
        <v>661</v>
      </c>
      <c r="AH885" s="1500" t="s">
        <v>495</v>
      </c>
      <c r="AI885" s="1040"/>
      <c r="AJ885" s="1040" t="s">
        <v>2</v>
      </c>
      <c r="AK885" s="1526"/>
      <c r="AL885" s="248"/>
      <c r="AM885" s="917"/>
      <c r="AN885" s="1154"/>
      <c r="AO885" s="917"/>
      <c r="AP885" s="917"/>
      <c r="AQ885" s="231"/>
      <c r="AR885" s="1056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</row>
    <row r="886" spans="1:86" s="53" customFormat="1" ht="22.5" hidden="1" customHeight="1" x14ac:dyDescent="0.2">
      <c r="A886" s="1560"/>
      <c r="B886" s="1458"/>
      <c r="C886" s="1839"/>
      <c r="D886" s="1468"/>
      <c r="E886" s="1872"/>
      <c r="F886" s="1468"/>
      <c r="G886" s="1872"/>
      <c r="H886" s="1056"/>
      <c r="I886" s="1056"/>
      <c r="J886" s="1056"/>
      <c r="K886" s="1056"/>
      <c r="L886" s="1056"/>
      <c r="M886" s="1056"/>
      <c r="N886" s="1056"/>
      <c r="O886" s="1056"/>
      <c r="P886" s="1056"/>
      <c r="Q886" s="1056"/>
      <c r="R886" s="1056"/>
      <c r="S886" s="296"/>
      <c r="T886" s="294"/>
      <c r="U886" s="294"/>
      <c r="V886" s="294"/>
      <c r="W886" s="84"/>
      <c r="X886" s="85"/>
      <c r="Y886" s="295"/>
      <c r="Z886" s="1035"/>
      <c r="AA886" s="1035"/>
      <c r="AB886" s="1154"/>
      <c r="AC886" s="917"/>
      <c r="AD886" s="917"/>
      <c r="AE886" s="1035"/>
      <c r="AF886" s="1458"/>
      <c r="AG886" s="1458"/>
      <c r="AH886" s="1457"/>
      <c r="AI886" s="1040"/>
      <c r="AJ886" s="1040" t="s">
        <v>4</v>
      </c>
      <c r="AK886" s="2058"/>
      <c r="AL886" s="1044"/>
      <c r="AM886" s="917"/>
      <c r="AN886" s="1154"/>
      <c r="AO886" s="917"/>
      <c r="AP886" s="917"/>
      <c r="AQ886" s="231"/>
      <c r="AR886" s="1056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</row>
    <row r="887" spans="1:86" s="53" customFormat="1" ht="22.5" hidden="1" customHeight="1" x14ac:dyDescent="0.2">
      <c r="A887" s="1406"/>
      <c r="B887" s="1457"/>
      <c r="C887" s="1840"/>
      <c r="D887" s="1469"/>
      <c r="E887" s="1873"/>
      <c r="F887" s="1469"/>
      <c r="G887" s="1873"/>
      <c r="H887" s="1056"/>
      <c r="I887" s="1056"/>
      <c r="J887" s="1056"/>
      <c r="K887" s="1056"/>
      <c r="L887" s="1056"/>
      <c r="M887" s="1056"/>
      <c r="N887" s="1056"/>
      <c r="O887" s="1056"/>
      <c r="P887" s="1056"/>
      <c r="Q887" s="1056"/>
      <c r="R887" s="1056"/>
      <c r="S887" s="296"/>
      <c r="T887" s="294"/>
      <c r="U887" s="294"/>
      <c r="V887" s="294"/>
      <c r="W887" s="84"/>
      <c r="X887" s="85"/>
      <c r="Y887" s="295"/>
      <c r="Z887" s="1035"/>
      <c r="AA887" s="1035"/>
      <c r="AB887" s="1154"/>
      <c r="AC887" s="917"/>
      <c r="AD887" s="917"/>
      <c r="AE887" s="1035"/>
      <c r="AF887" s="1457"/>
      <c r="AG887" s="1457"/>
      <c r="AH887" s="1040" t="s">
        <v>35</v>
      </c>
      <c r="AI887" s="1040">
        <v>2</v>
      </c>
      <c r="AJ887" s="1040" t="s">
        <v>8</v>
      </c>
      <c r="AK887" s="1527"/>
      <c r="AL887" s="1044"/>
      <c r="AM887" s="917"/>
      <c r="AN887" s="1154"/>
      <c r="AO887" s="917"/>
      <c r="AP887" s="917"/>
      <c r="AQ887" s="231"/>
      <c r="AR887" s="1056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</row>
    <row r="888" spans="1:86" s="53" customFormat="1" ht="22.5" customHeight="1" x14ac:dyDescent="0.2">
      <c r="A888" s="1393">
        <v>9</v>
      </c>
      <c r="B888" s="1462">
        <v>2239520</v>
      </c>
      <c r="C888" s="1343" t="s">
        <v>493</v>
      </c>
      <c r="D888" s="1868">
        <v>1.5</v>
      </c>
      <c r="E888" s="2536">
        <f>D888*6500</f>
        <v>9750</v>
      </c>
      <c r="F888" s="1868">
        <v>1.4</v>
      </c>
      <c r="G888" s="2536">
        <f>F888*6500</f>
        <v>9100</v>
      </c>
      <c r="H888" s="1056"/>
      <c r="I888" s="1056"/>
      <c r="J888" s="1056"/>
      <c r="K888" s="1056"/>
      <c r="L888" s="1056"/>
      <c r="M888" s="1056"/>
      <c r="N888" s="1056"/>
      <c r="O888" s="1056"/>
      <c r="P888" s="1056"/>
      <c r="Q888" s="1056"/>
      <c r="R888" s="1056"/>
      <c r="S888" s="296"/>
      <c r="T888" s="1439" t="s">
        <v>504</v>
      </c>
      <c r="U888" s="1439" t="s">
        <v>496</v>
      </c>
      <c r="V888" s="1440" t="s">
        <v>495</v>
      </c>
      <c r="W888" s="241"/>
      <c r="X888" s="1044" t="s">
        <v>2</v>
      </c>
      <c r="Y888" s="1441">
        <f>8194.49078+15789.47368</f>
        <v>23983.964459999999</v>
      </c>
      <c r="Z888" s="1456" t="s">
        <v>441</v>
      </c>
      <c r="AA888" s="1439" t="s">
        <v>1554</v>
      </c>
      <c r="AB888" s="1440" t="s">
        <v>495</v>
      </c>
      <c r="AC888" s="2537">
        <v>2.222</v>
      </c>
      <c r="AD888" s="1044" t="s">
        <v>2</v>
      </c>
      <c r="AE888" s="1441">
        <f>21411.47362-15789.47368</f>
        <v>5621.9999400000015</v>
      </c>
      <c r="AF888" s="214"/>
      <c r="AG888" s="214"/>
      <c r="AH888" s="249"/>
      <c r="AI888" s="241"/>
      <c r="AJ888" s="1044"/>
      <c r="AK888" s="688"/>
      <c r="AL888" s="246"/>
      <c r="AM888" s="85"/>
      <c r="AN888" s="85"/>
      <c r="AO888" s="85"/>
      <c r="AP888" s="85"/>
      <c r="AQ888" s="85"/>
      <c r="AR888" s="1056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</row>
    <row r="889" spans="1:86" s="53" customFormat="1" ht="22.5" customHeight="1" x14ac:dyDescent="0.2">
      <c r="A889" s="1394"/>
      <c r="B889" s="1775"/>
      <c r="C889" s="1531"/>
      <c r="D889" s="1430"/>
      <c r="E889" s="2538"/>
      <c r="F889" s="1430"/>
      <c r="G889" s="2538"/>
      <c r="H889" s="1056"/>
      <c r="I889" s="1056"/>
      <c r="J889" s="1056"/>
      <c r="K889" s="1056"/>
      <c r="L889" s="1056"/>
      <c r="M889" s="1056"/>
      <c r="N889" s="1056"/>
      <c r="O889" s="1056"/>
      <c r="P889" s="1056"/>
      <c r="Q889" s="1056"/>
      <c r="R889" s="1056"/>
      <c r="S889" s="296"/>
      <c r="T889" s="1439"/>
      <c r="U889" s="1347"/>
      <c r="V889" s="2068"/>
      <c r="W889" s="35"/>
      <c r="X889" s="1044" t="s">
        <v>4</v>
      </c>
      <c r="Y889" s="2468"/>
      <c r="Z889" s="1458"/>
      <c r="AA889" s="1347"/>
      <c r="AB889" s="2068"/>
      <c r="AC889" s="35">
        <v>14939</v>
      </c>
      <c r="AD889" s="1044" t="s">
        <v>4</v>
      </c>
      <c r="AE889" s="2468"/>
      <c r="AF889" s="214"/>
      <c r="AG889" s="48"/>
      <c r="AH889" s="49"/>
      <c r="AI889" s="35"/>
      <c r="AJ889" s="1044"/>
      <c r="AK889" s="689"/>
      <c r="AL889" s="1056"/>
      <c r="AM889" s="1056"/>
      <c r="AN889" s="1056"/>
      <c r="AO889" s="1056"/>
      <c r="AP889" s="1056"/>
      <c r="AQ889" s="1056"/>
      <c r="AR889" s="1056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</row>
    <row r="890" spans="1:86" s="53" customFormat="1" ht="22.5" hidden="1" customHeight="1" x14ac:dyDescent="0.2">
      <c r="A890" s="1026"/>
      <c r="B890" s="1776"/>
      <c r="C890" s="1532"/>
      <c r="D890" s="1869"/>
      <c r="E890" s="2539"/>
      <c r="F890" s="1869"/>
      <c r="G890" s="2539"/>
      <c r="H890" s="1056"/>
      <c r="I890" s="1056"/>
      <c r="J890" s="1056"/>
      <c r="K890" s="1056"/>
      <c r="L890" s="1056"/>
      <c r="M890" s="1056"/>
      <c r="N890" s="1056"/>
      <c r="O890" s="1056"/>
      <c r="P890" s="1056"/>
      <c r="Q890" s="1056"/>
      <c r="R890" s="1056"/>
      <c r="S890" s="296"/>
      <c r="T890" s="1439"/>
      <c r="U890" s="1347"/>
      <c r="V890" s="1040" t="s">
        <v>35</v>
      </c>
      <c r="W890" s="1044">
        <v>6</v>
      </c>
      <c r="X890" s="1044" t="s">
        <v>8</v>
      </c>
      <c r="Y890" s="2468"/>
      <c r="Z890" s="1457"/>
      <c r="AA890" s="1347"/>
      <c r="AB890" s="1040" t="s">
        <v>35</v>
      </c>
      <c r="AC890" s="1044">
        <v>6</v>
      </c>
      <c r="AD890" s="1044" t="s">
        <v>8</v>
      </c>
      <c r="AE890" s="2468"/>
      <c r="AF890" s="214"/>
      <c r="AG890" s="48"/>
      <c r="AH890" s="1040"/>
      <c r="AI890" s="1044"/>
      <c r="AJ890" s="1044"/>
      <c r="AK890" s="689"/>
      <c r="AL890" s="1056"/>
      <c r="AM890" s="1056"/>
      <c r="AN890" s="1056"/>
      <c r="AO890" s="1056"/>
      <c r="AP890" s="1056"/>
      <c r="AQ890" s="1056"/>
      <c r="AR890" s="1056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</row>
    <row r="891" spans="1:86" s="53" customFormat="1" ht="22.5" customHeight="1" x14ac:dyDescent="0.2">
      <c r="A891" s="1393">
        <v>10</v>
      </c>
      <c r="B891" s="1841" t="s">
        <v>312</v>
      </c>
      <c r="C891" s="1464" t="s">
        <v>161</v>
      </c>
      <c r="D891" s="1467">
        <v>1.5</v>
      </c>
      <c r="E891" s="1842">
        <v>7500</v>
      </c>
      <c r="F891" s="1467">
        <v>1.5</v>
      </c>
      <c r="G891" s="1842">
        <v>7500</v>
      </c>
      <c r="H891" s="1056"/>
      <c r="I891" s="1056"/>
      <c r="J891" s="1056"/>
      <c r="K891" s="1056"/>
      <c r="L891" s="1056"/>
      <c r="M891" s="1056"/>
      <c r="N891" s="1056"/>
      <c r="O891" s="1056"/>
      <c r="P891" s="1056"/>
      <c r="Q891" s="1056"/>
      <c r="R891" s="1056"/>
      <c r="S891" s="296"/>
      <c r="T891" s="690"/>
      <c r="U891" s="690"/>
      <c r="V891" s="690"/>
      <c r="W891" s="84"/>
      <c r="X891" s="85"/>
      <c r="Y891" s="246"/>
      <c r="Z891" s="214"/>
      <c r="AA891" s="48"/>
      <c r="AB891" s="1040"/>
      <c r="AC891" s="1044"/>
      <c r="AD891" s="1044"/>
      <c r="AE891" s="50"/>
      <c r="AF891" s="1355" t="s">
        <v>504</v>
      </c>
      <c r="AG891" s="1355" t="s">
        <v>509</v>
      </c>
      <c r="AH891" s="1500" t="s">
        <v>495</v>
      </c>
      <c r="AI891" s="241">
        <v>1.5</v>
      </c>
      <c r="AJ891" s="1044" t="s">
        <v>2</v>
      </c>
      <c r="AK891" s="2047">
        <v>18000</v>
      </c>
      <c r="AL891" s="295"/>
      <c r="AM891" s="1056"/>
      <c r="AN891" s="1056"/>
      <c r="AO891" s="1056"/>
      <c r="AP891" s="1056"/>
      <c r="AQ891" s="1056"/>
      <c r="AR891" s="1056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</row>
    <row r="892" spans="1:86" s="53" customFormat="1" ht="22.5" customHeight="1" x14ac:dyDescent="0.25">
      <c r="A892" s="1394"/>
      <c r="B892" s="1458"/>
      <c r="C892" s="1839"/>
      <c r="D892" s="1468"/>
      <c r="E892" s="1843"/>
      <c r="F892" s="1468"/>
      <c r="G892" s="1843"/>
      <c r="H892" s="1056"/>
      <c r="I892" s="1056"/>
      <c r="J892" s="1056"/>
      <c r="K892" s="1056"/>
      <c r="L892" s="1056"/>
      <c r="M892" s="1056"/>
      <c r="N892" s="1056"/>
      <c r="O892" s="1056"/>
      <c r="P892" s="1056"/>
      <c r="Q892" s="1056"/>
      <c r="R892" s="1056"/>
      <c r="S892" s="296"/>
      <c r="T892" s="294"/>
      <c r="U892" s="294"/>
      <c r="V892" s="294"/>
      <c r="W892" s="84"/>
      <c r="X892" s="85"/>
      <c r="Y892" s="295"/>
      <c r="Z892" s="214"/>
      <c r="AA892" s="48"/>
      <c r="AB892" s="1040"/>
      <c r="AC892" s="1044"/>
      <c r="AD892" s="1044"/>
      <c r="AE892" s="50"/>
      <c r="AF892" s="1445"/>
      <c r="AG892" s="1445"/>
      <c r="AH892" s="1457"/>
      <c r="AI892" s="36">
        <v>7500</v>
      </c>
      <c r="AJ892" s="1044" t="s">
        <v>4</v>
      </c>
      <c r="AK892" s="2048"/>
      <c r="AL892" s="1044"/>
      <c r="AM892" s="1056"/>
      <c r="AN892" s="1056"/>
      <c r="AO892" s="1056"/>
      <c r="AP892" s="1056"/>
      <c r="AQ892" s="1056"/>
      <c r="AR892" s="1056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</row>
    <row r="893" spans="1:86" s="53" customFormat="1" ht="22.5" hidden="1" customHeight="1" x14ac:dyDescent="0.2">
      <c r="A893" s="1026"/>
      <c r="B893" s="1457"/>
      <c r="C893" s="1840"/>
      <c r="D893" s="1469"/>
      <c r="E893" s="1844"/>
      <c r="F893" s="1469"/>
      <c r="G893" s="1844"/>
      <c r="H893" s="1056"/>
      <c r="I893" s="1056"/>
      <c r="J893" s="1056"/>
      <c r="K893" s="1056"/>
      <c r="L893" s="1056"/>
      <c r="M893" s="1056"/>
      <c r="N893" s="1056"/>
      <c r="O893" s="1056"/>
      <c r="P893" s="1056"/>
      <c r="Q893" s="1056"/>
      <c r="R893" s="1056"/>
      <c r="S893" s="296"/>
      <c r="T893" s="294"/>
      <c r="U893" s="294"/>
      <c r="V893" s="294"/>
      <c r="W893" s="84"/>
      <c r="X893" s="85"/>
      <c r="Y893" s="295"/>
      <c r="Z893" s="214"/>
      <c r="AA893" s="48"/>
      <c r="AB893" s="1040"/>
      <c r="AC893" s="1044"/>
      <c r="AD893" s="1044"/>
      <c r="AE893" s="50"/>
      <c r="AF893" s="1446"/>
      <c r="AG893" s="1446"/>
      <c r="AH893" s="1040" t="s">
        <v>35</v>
      </c>
      <c r="AI893" s="1044">
        <v>6</v>
      </c>
      <c r="AJ893" s="1044" t="s">
        <v>8</v>
      </c>
      <c r="AK893" s="2049"/>
      <c r="AL893" s="1044"/>
      <c r="AM893" s="1056"/>
      <c r="AN893" s="1056"/>
      <c r="AO893" s="1056"/>
      <c r="AP893" s="1056"/>
      <c r="AQ893" s="1056"/>
      <c r="AR893" s="1056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</row>
    <row r="894" spans="1:86" s="53" customFormat="1" ht="22.5" customHeight="1" x14ac:dyDescent="0.2">
      <c r="A894" s="1393">
        <v>11</v>
      </c>
      <c r="B894" s="2067">
        <v>3413614</v>
      </c>
      <c r="C894" s="1464" t="s">
        <v>162</v>
      </c>
      <c r="D894" s="1467">
        <v>1.25</v>
      </c>
      <c r="E894" s="1842">
        <v>6250</v>
      </c>
      <c r="F894" s="1467">
        <v>1.25</v>
      </c>
      <c r="G894" s="1842">
        <v>6250</v>
      </c>
      <c r="H894" s="1056"/>
      <c r="I894" s="1056"/>
      <c r="J894" s="1056"/>
      <c r="K894" s="1056"/>
      <c r="L894" s="1056"/>
      <c r="M894" s="1056"/>
      <c r="N894" s="1056"/>
      <c r="O894" s="1056"/>
      <c r="P894" s="1056"/>
      <c r="Q894" s="1056"/>
      <c r="R894" s="1056"/>
      <c r="S894" s="296"/>
      <c r="T894" s="294"/>
      <c r="U894" s="294"/>
      <c r="V894" s="294"/>
      <c r="W894" s="84"/>
      <c r="X894" s="85"/>
      <c r="Y894" s="295"/>
      <c r="Z894" s="214"/>
      <c r="AA894" s="48"/>
      <c r="AB894" s="1040"/>
      <c r="AC894" s="1044"/>
      <c r="AD894" s="1044"/>
      <c r="AE894" s="50"/>
      <c r="AF894" s="1355" t="s">
        <v>504</v>
      </c>
      <c r="AG894" s="1355" t="s">
        <v>498</v>
      </c>
      <c r="AH894" s="1500" t="s">
        <v>495</v>
      </c>
      <c r="AI894" s="241">
        <v>1.25</v>
      </c>
      <c r="AJ894" s="1044" t="s">
        <v>2</v>
      </c>
      <c r="AK894" s="2047">
        <v>15000</v>
      </c>
      <c r="AL894" s="295"/>
      <c r="AM894" s="1056"/>
      <c r="AN894" s="1056"/>
      <c r="AO894" s="1056"/>
      <c r="AP894" s="1056"/>
      <c r="AQ894" s="1056"/>
      <c r="AR894" s="1056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</row>
    <row r="895" spans="1:86" s="53" customFormat="1" ht="22.5" customHeight="1" x14ac:dyDescent="0.25">
      <c r="A895" s="1394"/>
      <c r="B895" s="1775"/>
      <c r="C895" s="1839"/>
      <c r="D895" s="1468"/>
      <c r="E895" s="1843"/>
      <c r="F895" s="1468"/>
      <c r="G895" s="1843"/>
      <c r="H895" s="1056"/>
      <c r="I895" s="1056"/>
      <c r="J895" s="1056"/>
      <c r="K895" s="1056"/>
      <c r="L895" s="1056"/>
      <c r="M895" s="1056"/>
      <c r="N895" s="1056"/>
      <c r="O895" s="1056"/>
      <c r="P895" s="1056"/>
      <c r="Q895" s="1056"/>
      <c r="R895" s="1056"/>
      <c r="S895" s="296"/>
      <c r="T895" s="294"/>
      <c r="U895" s="294"/>
      <c r="V895" s="294"/>
      <c r="W895" s="84"/>
      <c r="X895" s="85"/>
      <c r="Y895" s="295"/>
      <c r="Z895" s="214"/>
      <c r="AA895" s="48"/>
      <c r="AB895" s="1040"/>
      <c r="AC895" s="1044"/>
      <c r="AD895" s="1044"/>
      <c r="AE895" s="50"/>
      <c r="AF895" s="1445"/>
      <c r="AG895" s="1445"/>
      <c r="AH895" s="1457"/>
      <c r="AI895" s="36">
        <v>6250</v>
      </c>
      <c r="AJ895" s="1044" t="s">
        <v>4</v>
      </c>
      <c r="AK895" s="2048"/>
      <c r="AL895" s="1044"/>
      <c r="AM895" s="1056"/>
      <c r="AN895" s="1056"/>
      <c r="AO895" s="1056"/>
      <c r="AP895" s="1056"/>
      <c r="AQ895" s="1056"/>
      <c r="AR895" s="1056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</row>
    <row r="896" spans="1:86" s="53" customFormat="1" ht="22.5" hidden="1" customHeight="1" x14ac:dyDescent="0.2">
      <c r="A896" s="1026"/>
      <c r="B896" s="1030"/>
      <c r="C896" s="1840"/>
      <c r="D896" s="1469"/>
      <c r="E896" s="1844"/>
      <c r="F896" s="1469"/>
      <c r="G896" s="1844"/>
      <c r="H896" s="1056"/>
      <c r="I896" s="1056"/>
      <c r="J896" s="1056"/>
      <c r="K896" s="1056"/>
      <c r="L896" s="1056"/>
      <c r="M896" s="1056"/>
      <c r="N896" s="1056"/>
      <c r="O896" s="1056"/>
      <c r="P896" s="1056"/>
      <c r="Q896" s="1056"/>
      <c r="R896" s="1056"/>
      <c r="S896" s="296"/>
      <c r="T896" s="294"/>
      <c r="U896" s="294"/>
      <c r="V896" s="294"/>
      <c r="W896" s="84"/>
      <c r="X896" s="85"/>
      <c r="Y896" s="295"/>
      <c r="Z896" s="214"/>
      <c r="AA896" s="48"/>
      <c r="AB896" s="1040"/>
      <c r="AC896" s="1044"/>
      <c r="AD896" s="1044"/>
      <c r="AE896" s="50"/>
      <c r="AF896" s="1446"/>
      <c r="AG896" s="1446"/>
      <c r="AH896" s="1040" t="s">
        <v>35</v>
      </c>
      <c r="AI896" s="1044">
        <v>6</v>
      </c>
      <c r="AJ896" s="1044" t="s">
        <v>8</v>
      </c>
      <c r="AK896" s="2049"/>
      <c r="AL896" s="1044"/>
      <c r="AM896" s="1056"/>
      <c r="AN896" s="1056"/>
      <c r="AO896" s="1056"/>
      <c r="AP896" s="1056"/>
      <c r="AQ896" s="1056"/>
      <c r="AR896" s="1056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</row>
    <row r="897" spans="1:86" s="53" customFormat="1" ht="22.5" customHeight="1" x14ac:dyDescent="0.2">
      <c r="A897" s="1393">
        <v>12</v>
      </c>
      <c r="B897" s="1462">
        <v>2246942</v>
      </c>
      <c r="C897" s="1343" t="s">
        <v>503</v>
      </c>
      <c r="D897" s="1472">
        <v>1</v>
      </c>
      <c r="E897" s="2069">
        <v>4000</v>
      </c>
      <c r="F897" s="1868">
        <v>1</v>
      </c>
      <c r="G897" s="2069">
        <v>4000</v>
      </c>
      <c r="H897" s="1056"/>
      <c r="I897" s="1056"/>
      <c r="J897" s="1056"/>
      <c r="K897" s="1056"/>
      <c r="L897" s="1056"/>
      <c r="M897" s="1056"/>
      <c r="N897" s="1056"/>
      <c r="O897" s="1056"/>
      <c r="P897" s="1056"/>
      <c r="Q897" s="1056"/>
      <c r="R897" s="1056"/>
      <c r="S897" s="296"/>
      <c r="T897" s="294"/>
      <c r="U897" s="294"/>
      <c r="V897" s="294"/>
      <c r="W897" s="84"/>
      <c r="X897" s="85"/>
      <c r="Y897" s="295"/>
      <c r="Z897" s="1056"/>
      <c r="AA897" s="1056"/>
      <c r="AB897" s="1056"/>
      <c r="AC897" s="1056"/>
      <c r="AD897" s="1056"/>
      <c r="AE897" s="1056"/>
      <c r="AF897" s="214"/>
      <c r="AG897" s="214"/>
      <c r="AH897" s="249"/>
      <c r="AI897" s="241"/>
      <c r="AJ897" s="1044"/>
      <c r="AK897" s="688"/>
      <c r="AL897" s="1355" t="s">
        <v>504</v>
      </c>
      <c r="AM897" s="1355" t="s">
        <v>508</v>
      </c>
      <c r="AN897" s="1500" t="s">
        <v>495</v>
      </c>
      <c r="AO897" s="241">
        <v>1</v>
      </c>
      <c r="AP897" s="1044" t="s">
        <v>2</v>
      </c>
      <c r="AQ897" s="2047">
        <v>12000</v>
      </c>
      <c r="AR897" s="1056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</row>
    <row r="898" spans="1:86" s="53" customFormat="1" ht="22.5" customHeight="1" x14ac:dyDescent="0.2">
      <c r="A898" s="1394"/>
      <c r="B898" s="1402"/>
      <c r="C898" s="1531"/>
      <c r="D898" s="1543"/>
      <c r="E898" s="2070"/>
      <c r="F898" s="1430"/>
      <c r="G898" s="2070"/>
      <c r="H898" s="1056"/>
      <c r="I898" s="1056"/>
      <c r="J898" s="1056"/>
      <c r="K898" s="1056"/>
      <c r="L898" s="1056"/>
      <c r="M898" s="1056"/>
      <c r="N898" s="1056"/>
      <c r="O898" s="1056"/>
      <c r="P898" s="1056"/>
      <c r="Q898" s="1056"/>
      <c r="R898" s="1056"/>
      <c r="S898" s="296"/>
      <c r="T898" s="294"/>
      <c r="U898" s="294"/>
      <c r="V898" s="294"/>
      <c r="W898" s="84"/>
      <c r="X898" s="85"/>
      <c r="Y898" s="295"/>
      <c r="Z898" s="1056"/>
      <c r="AA898" s="1056"/>
      <c r="AB898" s="1056"/>
      <c r="AC898" s="1056"/>
      <c r="AD898" s="1056"/>
      <c r="AE898" s="1056"/>
      <c r="AF898" s="48"/>
      <c r="AG898" s="48"/>
      <c r="AH898" s="49"/>
      <c r="AI898" s="38"/>
      <c r="AJ898" s="1044"/>
      <c r="AK898" s="689"/>
      <c r="AL898" s="1445"/>
      <c r="AM898" s="1445"/>
      <c r="AN898" s="1457"/>
      <c r="AO898" s="38">
        <v>4000</v>
      </c>
      <c r="AP898" s="1044" t="s">
        <v>4</v>
      </c>
      <c r="AQ898" s="2048"/>
      <c r="AR898" s="1056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</row>
    <row r="899" spans="1:86" s="53" customFormat="1" ht="22.5" hidden="1" customHeight="1" x14ac:dyDescent="0.2">
      <c r="A899" s="1026"/>
      <c r="B899" s="1463"/>
      <c r="C899" s="1532"/>
      <c r="D899" s="1473"/>
      <c r="E899" s="2071"/>
      <c r="F899" s="1869"/>
      <c r="G899" s="2071"/>
      <c r="H899" s="1056"/>
      <c r="I899" s="1056"/>
      <c r="J899" s="1056"/>
      <c r="K899" s="1056"/>
      <c r="L899" s="1056"/>
      <c r="M899" s="1056"/>
      <c r="N899" s="1056"/>
      <c r="O899" s="1056"/>
      <c r="P899" s="1056"/>
      <c r="Q899" s="1056"/>
      <c r="R899" s="1056"/>
      <c r="S899" s="296"/>
      <c r="T899" s="294"/>
      <c r="U899" s="294"/>
      <c r="V899" s="294"/>
      <c r="W899" s="84"/>
      <c r="X899" s="85"/>
      <c r="Y899" s="295"/>
      <c r="Z899" s="1056"/>
      <c r="AA899" s="1056"/>
      <c r="AB899" s="1056"/>
      <c r="AC899" s="1056"/>
      <c r="AD899" s="1056"/>
      <c r="AE899" s="1056"/>
      <c r="AF899" s="48"/>
      <c r="AG899" s="48"/>
      <c r="AH899" s="1040"/>
      <c r="AI899" s="1044"/>
      <c r="AJ899" s="1044"/>
      <c r="AK899" s="689"/>
      <c r="AL899" s="1446"/>
      <c r="AM899" s="1446"/>
      <c r="AN899" s="1040" t="s">
        <v>35</v>
      </c>
      <c r="AO899" s="1044">
        <v>4</v>
      </c>
      <c r="AP899" s="1044" t="s">
        <v>8</v>
      </c>
      <c r="AQ899" s="2049"/>
      <c r="AR899" s="1056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</row>
    <row r="900" spans="1:86" s="53" customFormat="1" ht="22.5" customHeight="1" x14ac:dyDescent="0.2">
      <c r="A900" s="1393">
        <v>13</v>
      </c>
      <c r="B900" s="1462">
        <v>2238999</v>
      </c>
      <c r="C900" s="1464" t="s">
        <v>1534</v>
      </c>
      <c r="D900" s="1467">
        <v>0.58099999999999996</v>
      </c>
      <c r="E900" s="1871">
        <v>2615</v>
      </c>
      <c r="F900" s="1467">
        <v>0.58099999999999996</v>
      </c>
      <c r="G900" s="1871">
        <v>2615</v>
      </c>
      <c r="H900" s="1056"/>
      <c r="I900" s="1056"/>
      <c r="J900" s="1056"/>
      <c r="K900" s="1056"/>
      <c r="L900" s="1056"/>
      <c r="M900" s="1056"/>
      <c r="N900" s="1056"/>
      <c r="O900" s="1056"/>
      <c r="P900" s="1056"/>
      <c r="Q900" s="1056"/>
      <c r="R900" s="1056"/>
      <c r="S900" s="296"/>
      <c r="T900" s="294"/>
      <c r="U900" s="294"/>
      <c r="V900" s="294"/>
      <c r="W900" s="84"/>
      <c r="X900" s="85"/>
      <c r="Y900" s="295"/>
      <c r="Z900" s="1056"/>
      <c r="AA900" s="1056"/>
      <c r="AB900" s="1056"/>
      <c r="AC900" s="1056"/>
      <c r="AD900" s="1056"/>
      <c r="AE900" s="1056"/>
      <c r="AF900" s="214"/>
      <c r="AG900" s="214"/>
      <c r="AH900" s="249"/>
      <c r="AI900" s="1044"/>
      <c r="AJ900" s="1044"/>
      <c r="AK900" s="688"/>
      <c r="AL900" s="1355" t="s">
        <v>504</v>
      </c>
      <c r="AM900" s="1355" t="s">
        <v>636</v>
      </c>
      <c r="AN900" s="1500" t="s">
        <v>495</v>
      </c>
      <c r="AO900" s="1044">
        <v>0.58099999999999996</v>
      </c>
      <c r="AP900" s="1044" t="s">
        <v>2</v>
      </c>
      <c r="AQ900" s="2047">
        <v>7500</v>
      </c>
      <c r="AR900" s="1056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</row>
    <row r="901" spans="1:86" s="53" customFormat="1" ht="22.5" customHeight="1" x14ac:dyDescent="0.2">
      <c r="A901" s="1394"/>
      <c r="B901" s="1402"/>
      <c r="C901" s="1839"/>
      <c r="D901" s="1468"/>
      <c r="E901" s="1872"/>
      <c r="F901" s="1468"/>
      <c r="G901" s="1872"/>
      <c r="H901" s="1056"/>
      <c r="I901" s="1056"/>
      <c r="J901" s="1056"/>
      <c r="K901" s="1056"/>
      <c r="L901" s="1056"/>
      <c r="M901" s="1056"/>
      <c r="N901" s="1056"/>
      <c r="O901" s="1056"/>
      <c r="P901" s="1056"/>
      <c r="Q901" s="1056"/>
      <c r="R901" s="1056"/>
      <c r="S901" s="296"/>
      <c r="T901" s="294"/>
      <c r="U901" s="294"/>
      <c r="V901" s="294"/>
      <c r="W901" s="84"/>
      <c r="X901" s="85"/>
      <c r="Y901" s="295"/>
      <c r="Z901" s="1056"/>
      <c r="AA901" s="1056"/>
      <c r="AB901" s="1056"/>
      <c r="AC901" s="1056"/>
      <c r="AD901" s="1056"/>
      <c r="AE901" s="1056"/>
      <c r="AF901" s="48"/>
      <c r="AG901" s="48"/>
      <c r="AH901" s="49"/>
      <c r="AI901" s="38"/>
      <c r="AJ901" s="1044"/>
      <c r="AK901" s="689"/>
      <c r="AL901" s="1445"/>
      <c r="AM901" s="1445"/>
      <c r="AN901" s="1457"/>
      <c r="AO901" s="38">
        <v>2615</v>
      </c>
      <c r="AP901" s="1044" t="s">
        <v>4</v>
      </c>
      <c r="AQ901" s="2048"/>
      <c r="AR901" s="1056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</row>
    <row r="902" spans="1:86" s="53" customFormat="1" ht="22.5" hidden="1" customHeight="1" x14ac:dyDescent="0.2">
      <c r="A902" s="1026"/>
      <c r="B902" s="1463"/>
      <c r="C902" s="1840"/>
      <c r="D902" s="1469"/>
      <c r="E902" s="1873"/>
      <c r="F902" s="1469"/>
      <c r="G902" s="1873"/>
      <c r="H902" s="1056"/>
      <c r="I902" s="1056"/>
      <c r="J902" s="1056"/>
      <c r="K902" s="1056"/>
      <c r="L902" s="1056"/>
      <c r="M902" s="1056"/>
      <c r="N902" s="1056"/>
      <c r="O902" s="1056"/>
      <c r="P902" s="1056"/>
      <c r="Q902" s="1056"/>
      <c r="R902" s="1056"/>
      <c r="S902" s="296"/>
      <c r="T902" s="294"/>
      <c r="U902" s="294"/>
      <c r="V902" s="294"/>
      <c r="W902" s="84"/>
      <c r="X902" s="85"/>
      <c r="Y902" s="295"/>
      <c r="Z902" s="1056"/>
      <c r="AA902" s="1056"/>
      <c r="AB902" s="1056"/>
      <c r="AC902" s="1056"/>
      <c r="AD902" s="1056"/>
      <c r="AE902" s="1056"/>
      <c r="AF902" s="48"/>
      <c r="AG902" s="48"/>
      <c r="AH902" s="1040"/>
      <c r="AI902" s="1044"/>
      <c r="AJ902" s="1044"/>
      <c r="AK902" s="689"/>
      <c r="AL902" s="1446"/>
      <c r="AM902" s="1446"/>
      <c r="AN902" s="1040" t="s">
        <v>35</v>
      </c>
      <c r="AO902" s="1044">
        <v>6</v>
      </c>
      <c r="AP902" s="1044" t="s">
        <v>8</v>
      </c>
      <c r="AQ902" s="2049"/>
      <c r="AR902" s="1056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</row>
    <row r="903" spans="1:86" s="53" customFormat="1" ht="22.5" customHeight="1" x14ac:dyDescent="0.2">
      <c r="A903" s="1393">
        <v>14</v>
      </c>
      <c r="B903" s="1462">
        <v>2240023</v>
      </c>
      <c r="C903" s="1464" t="s">
        <v>163</v>
      </c>
      <c r="D903" s="1467">
        <v>0.5</v>
      </c>
      <c r="E903" s="1871">
        <v>2250</v>
      </c>
      <c r="F903" s="1467">
        <v>0.5</v>
      </c>
      <c r="G903" s="1871">
        <v>2250</v>
      </c>
      <c r="H903" s="1056"/>
      <c r="I903" s="1056"/>
      <c r="J903" s="1056"/>
      <c r="K903" s="1056"/>
      <c r="L903" s="1056"/>
      <c r="M903" s="1056"/>
      <c r="N903" s="1056"/>
      <c r="O903" s="1056"/>
      <c r="P903" s="1056"/>
      <c r="Q903" s="1056"/>
      <c r="R903" s="1056"/>
      <c r="S903" s="296"/>
      <c r="T903" s="294"/>
      <c r="U903" s="294"/>
      <c r="V903" s="294"/>
      <c r="W903" s="84"/>
      <c r="X903" s="85"/>
      <c r="Y903" s="295"/>
      <c r="Z903" s="1056"/>
      <c r="AA903" s="1056"/>
      <c r="AB903" s="1056"/>
      <c r="AC903" s="1056"/>
      <c r="AD903" s="1056"/>
      <c r="AE903" s="1056"/>
      <c r="AF903" s="214"/>
      <c r="AG903" s="214"/>
      <c r="AH903" s="249"/>
      <c r="AI903" s="241"/>
      <c r="AJ903" s="1044"/>
      <c r="AK903" s="688"/>
      <c r="AL903" s="1355" t="s">
        <v>504</v>
      </c>
      <c r="AM903" s="1355" t="s">
        <v>546</v>
      </c>
      <c r="AN903" s="1500" t="s">
        <v>495</v>
      </c>
      <c r="AO903" s="241">
        <v>0.5</v>
      </c>
      <c r="AP903" s="1044" t="s">
        <v>2</v>
      </c>
      <c r="AQ903" s="2047">
        <v>5000</v>
      </c>
      <c r="AR903" s="1056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</row>
    <row r="904" spans="1:86" s="53" customFormat="1" ht="22.5" customHeight="1" x14ac:dyDescent="0.2">
      <c r="A904" s="1394"/>
      <c r="B904" s="1402"/>
      <c r="C904" s="1839"/>
      <c r="D904" s="1468"/>
      <c r="E904" s="1872"/>
      <c r="F904" s="1468"/>
      <c r="G904" s="1872"/>
      <c r="H904" s="1056"/>
      <c r="I904" s="1056"/>
      <c r="J904" s="1056"/>
      <c r="K904" s="1056"/>
      <c r="L904" s="1056"/>
      <c r="M904" s="1056"/>
      <c r="N904" s="1056"/>
      <c r="O904" s="1056"/>
      <c r="P904" s="1056"/>
      <c r="Q904" s="1056"/>
      <c r="R904" s="1056"/>
      <c r="S904" s="296"/>
      <c r="T904" s="294"/>
      <c r="U904" s="294"/>
      <c r="V904" s="294"/>
      <c r="W904" s="84"/>
      <c r="X904" s="85"/>
      <c r="Y904" s="295"/>
      <c r="Z904" s="1056"/>
      <c r="AA904" s="1056"/>
      <c r="AB904" s="1056"/>
      <c r="AC904" s="1056"/>
      <c r="AD904" s="1056"/>
      <c r="AE904" s="1056"/>
      <c r="AF904" s="48"/>
      <c r="AG904" s="48"/>
      <c r="AH904" s="49"/>
      <c r="AI904" s="38"/>
      <c r="AJ904" s="1044"/>
      <c r="AK904" s="689"/>
      <c r="AL904" s="1445"/>
      <c r="AM904" s="1445"/>
      <c r="AN904" s="1457"/>
      <c r="AO904" s="38">
        <v>2250</v>
      </c>
      <c r="AP904" s="1044" t="s">
        <v>4</v>
      </c>
      <c r="AQ904" s="2048"/>
      <c r="AR904" s="1056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</row>
    <row r="905" spans="1:86" s="53" customFormat="1" ht="22.5" hidden="1" customHeight="1" x14ac:dyDescent="0.2">
      <c r="A905" s="1026"/>
      <c r="B905" s="1463"/>
      <c r="C905" s="1840"/>
      <c r="D905" s="1469"/>
      <c r="E905" s="1873"/>
      <c r="F905" s="1469"/>
      <c r="G905" s="1873"/>
      <c r="H905" s="1056"/>
      <c r="I905" s="1056"/>
      <c r="J905" s="1056"/>
      <c r="K905" s="1056"/>
      <c r="L905" s="1056"/>
      <c r="M905" s="1056"/>
      <c r="N905" s="1056"/>
      <c r="O905" s="1056"/>
      <c r="P905" s="1056"/>
      <c r="Q905" s="1056"/>
      <c r="R905" s="1056"/>
      <c r="S905" s="296"/>
      <c r="T905" s="294"/>
      <c r="U905" s="294"/>
      <c r="V905" s="294"/>
      <c r="W905" s="84"/>
      <c r="X905" s="85"/>
      <c r="Y905" s="295"/>
      <c r="Z905" s="1056"/>
      <c r="AA905" s="1056"/>
      <c r="AB905" s="1056"/>
      <c r="AC905" s="1056"/>
      <c r="AD905" s="1056"/>
      <c r="AE905" s="1056"/>
      <c r="AF905" s="48"/>
      <c r="AG905" s="48"/>
      <c r="AH905" s="1040"/>
      <c r="AI905" s="1044"/>
      <c r="AJ905" s="1044"/>
      <c r="AK905" s="689"/>
      <c r="AL905" s="1446"/>
      <c r="AM905" s="1446"/>
      <c r="AN905" s="1040" t="s">
        <v>35</v>
      </c>
      <c r="AO905" s="1044">
        <v>4</v>
      </c>
      <c r="AP905" s="1044" t="s">
        <v>8</v>
      </c>
      <c r="AQ905" s="2049"/>
      <c r="AR905" s="1056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</row>
    <row r="906" spans="1:86" s="53" customFormat="1" ht="22.5" customHeight="1" x14ac:dyDescent="0.2">
      <c r="A906" s="1393">
        <v>15</v>
      </c>
      <c r="B906" s="1447">
        <v>2242653</v>
      </c>
      <c r="C906" s="1343" t="s">
        <v>134</v>
      </c>
      <c r="D906" s="1459">
        <v>2.0350000000000001</v>
      </c>
      <c r="E906" s="1442">
        <f>G906/F906*D906</f>
        <v>19219.444444444445</v>
      </c>
      <c r="F906" s="1459">
        <v>0.9</v>
      </c>
      <c r="G906" s="1442">
        <v>8500</v>
      </c>
      <c r="H906" s="1056"/>
      <c r="I906" s="1056"/>
      <c r="J906" s="1056"/>
      <c r="K906" s="1056"/>
      <c r="L906" s="1056"/>
      <c r="M906" s="1056"/>
      <c r="N906" s="1056"/>
      <c r="O906" s="1056"/>
      <c r="P906" s="1056"/>
      <c r="Q906" s="1056"/>
      <c r="R906" s="1056"/>
      <c r="S906" s="296"/>
      <c r="T906" s="294"/>
      <c r="U906" s="294"/>
      <c r="V906" s="294"/>
      <c r="W906" s="84"/>
      <c r="X906" s="85"/>
      <c r="Y906" s="295"/>
      <c r="Z906" s="1056"/>
      <c r="AA906" s="1056"/>
      <c r="AB906" s="1056"/>
      <c r="AC906" s="1056"/>
      <c r="AD906" s="1056"/>
      <c r="AE906" s="1056"/>
      <c r="AF906" s="244"/>
      <c r="AG906" s="244"/>
      <c r="AH906" s="244"/>
      <c r="AI906" s="242"/>
      <c r="AJ906" s="1055"/>
      <c r="AK906" s="751"/>
      <c r="AL906" s="1456" t="s">
        <v>504</v>
      </c>
      <c r="AM906" s="1456" t="s">
        <v>637</v>
      </c>
      <c r="AN906" s="1456" t="s">
        <v>506</v>
      </c>
      <c r="AO906" s="242">
        <v>0.9</v>
      </c>
      <c r="AP906" s="1055" t="s">
        <v>2</v>
      </c>
      <c r="AQ906" s="1731">
        <v>11000</v>
      </c>
      <c r="AR906" s="1056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</row>
    <row r="907" spans="1:86" s="53" customFormat="1" ht="22.5" customHeight="1" x14ac:dyDescent="0.2">
      <c r="A907" s="1394"/>
      <c r="B907" s="1449"/>
      <c r="C907" s="1840"/>
      <c r="D907" s="1461"/>
      <c r="E907" s="1444"/>
      <c r="F907" s="1461"/>
      <c r="G907" s="1444"/>
      <c r="H907" s="1056"/>
      <c r="I907" s="1056"/>
      <c r="J907" s="1056"/>
      <c r="K907" s="1056"/>
      <c r="L907" s="1056"/>
      <c r="M907" s="1056"/>
      <c r="N907" s="1056"/>
      <c r="O907" s="1056"/>
      <c r="P907" s="1056"/>
      <c r="Q907" s="1056"/>
      <c r="R907" s="1056"/>
      <c r="S907" s="296"/>
      <c r="T907" s="294"/>
      <c r="U907" s="294"/>
      <c r="V907" s="294"/>
      <c r="W907" s="84"/>
      <c r="X907" s="85"/>
      <c r="Y907" s="295"/>
      <c r="Z907" s="1056"/>
      <c r="AA907" s="1056"/>
      <c r="AB907" s="1056"/>
      <c r="AC907" s="1056"/>
      <c r="AD907" s="1056"/>
      <c r="AE907" s="1056"/>
      <c r="AF907" s="49"/>
      <c r="AG907" s="49"/>
      <c r="AH907" s="49"/>
      <c r="AI907" s="1055"/>
      <c r="AJ907" s="1055"/>
      <c r="AK907" s="752"/>
      <c r="AL907" s="1457"/>
      <c r="AM907" s="1457"/>
      <c r="AN907" s="1457"/>
      <c r="AO907" s="1055">
        <v>8500</v>
      </c>
      <c r="AP907" s="1055" t="s">
        <v>507</v>
      </c>
      <c r="AQ907" s="1733"/>
      <c r="AR907" s="1056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</row>
    <row r="908" spans="1:86" s="53" customFormat="1" ht="22.5" hidden="1" customHeight="1" x14ac:dyDescent="0.2">
      <c r="A908" s="1393">
        <v>21</v>
      </c>
      <c r="B908" s="1447">
        <v>2246394</v>
      </c>
      <c r="C908" s="1343" t="s">
        <v>136</v>
      </c>
      <c r="D908" s="1459">
        <v>0.8</v>
      </c>
      <c r="E908" s="1442">
        <v>4000</v>
      </c>
      <c r="F908" s="1459">
        <v>0.8</v>
      </c>
      <c r="G908" s="1442">
        <v>4000</v>
      </c>
      <c r="H908" s="1056"/>
      <c r="I908" s="1056"/>
      <c r="J908" s="1056"/>
      <c r="K908" s="1056"/>
      <c r="L908" s="1056"/>
      <c r="M908" s="1056"/>
      <c r="N908" s="1056"/>
      <c r="O908" s="1056"/>
      <c r="P908" s="1056"/>
      <c r="Q908" s="1056"/>
      <c r="R908" s="1056"/>
      <c r="S908" s="296"/>
      <c r="T908" s="294"/>
      <c r="U908" s="294"/>
      <c r="V908" s="294"/>
      <c r="W908" s="84"/>
      <c r="X908" s="85"/>
      <c r="Y908" s="295"/>
      <c r="Z908" s="1056"/>
      <c r="AA908" s="1056"/>
      <c r="AB908" s="1056"/>
      <c r="AC908" s="1056"/>
      <c r="AD908" s="1056"/>
      <c r="AE908" s="1056"/>
      <c r="AF908" s="1456" t="s">
        <v>504</v>
      </c>
      <c r="AG908" s="1447" t="s">
        <v>551</v>
      </c>
      <c r="AH908" s="1456" t="s">
        <v>506</v>
      </c>
      <c r="AI908" s="242"/>
      <c r="AJ908" s="1055" t="s">
        <v>2</v>
      </c>
      <c r="AK908" s="1442"/>
      <c r="AL908" s="248"/>
      <c r="AM908" s="1056"/>
      <c r="AN908" s="1056"/>
      <c r="AO908" s="1056"/>
      <c r="AP908" s="1056"/>
      <c r="AQ908" s="1056"/>
      <c r="AR908" s="1056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</row>
    <row r="909" spans="1:86" s="53" customFormat="1" ht="22.5" hidden="1" customHeight="1" x14ac:dyDescent="0.2">
      <c r="A909" s="1394"/>
      <c r="B909" s="1448"/>
      <c r="C909" s="1839"/>
      <c r="D909" s="1460"/>
      <c r="E909" s="1443"/>
      <c r="F909" s="1460"/>
      <c r="G909" s="1443"/>
      <c r="H909" s="1056"/>
      <c r="I909" s="1056"/>
      <c r="J909" s="1056"/>
      <c r="K909" s="1056"/>
      <c r="L909" s="1056"/>
      <c r="M909" s="1056"/>
      <c r="N909" s="1056"/>
      <c r="O909" s="1056"/>
      <c r="P909" s="1056"/>
      <c r="Q909" s="1056"/>
      <c r="R909" s="1056"/>
      <c r="S909" s="296"/>
      <c r="T909" s="294"/>
      <c r="U909" s="294"/>
      <c r="V909" s="294"/>
      <c r="W909" s="84"/>
      <c r="X909" s="85"/>
      <c r="Y909" s="295"/>
      <c r="Z909" s="1056"/>
      <c r="AA909" s="1056"/>
      <c r="AB909" s="1056"/>
      <c r="AC909" s="1056"/>
      <c r="AD909" s="1056"/>
      <c r="AE909" s="1056"/>
      <c r="AF909" s="1457"/>
      <c r="AG909" s="1449"/>
      <c r="AH909" s="1479"/>
      <c r="AI909" s="1055"/>
      <c r="AJ909" s="1055" t="s">
        <v>507</v>
      </c>
      <c r="AK909" s="1443"/>
      <c r="AL909" s="1044"/>
      <c r="AM909" s="1056"/>
      <c r="AN909" s="1056"/>
      <c r="AO909" s="1056"/>
      <c r="AP909" s="1056"/>
      <c r="AQ909" s="1056"/>
      <c r="AR909" s="1056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</row>
    <row r="910" spans="1:86" s="53" customFormat="1" ht="22.5" hidden="1" customHeight="1" x14ac:dyDescent="0.2">
      <c r="A910" s="1026"/>
      <c r="B910" s="1449"/>
      <c r="C910" s="1840"/>
      <c r="D910" s="1461"/>
      <c r="E910" s="1444"/>
      <c r="F910" s="1461"/>
      <c r="G910" s="1444"/>
      <c r="H910" s="1056"/>
      <c r="I910" s="1056"/>
      <c r="J910" s="1056"/>
      <c r="K910" s="1056"/>
      <c r="L910" s="1056"/>
      <c r="M910" s="1056"/>
      <c r="N910" s="1056"/>
      <c r="O910" s="1056"/>
      <c r="P910" s="1056"/>
      <c r="Q910" s="1056"/>
      <c r="R910" s="1056"/>
      <c r="S910" s="296"/>
      <c r="T910" s="294"/>
      <c r="U910" s="294"/>
      <c r="V910" s="294"/>
      <c r="W910" s="84"/>
      <c r="X910" s="85"/>
      <c r="Y910" s="295"/>
      <c r="Z910" s="1056"/>
      <c r="AA910" s="1056"/>
      <c r="AB910" s="1056"/>
      <c r="AC910" s="1056"/>
      <c r="AD910" s="1056"/>
      <c r="AE910" s="1056"/>
      <c r="AF910" s="1055"/>
      <c r="AG910" s="1055"/>
      <c r="AH910" s="1054" t="s">
        <v>35</v>
      </c>
      <c r="AI910" s="1055">
        <v>2</v>
      </c>
      <c r="AJ910" s="1055" t="s">
        <v>8</v>
      </c>
      <c r="AK910" s="1444"/>
      <c r="AL910" s="1044"/>
      <c r="AM910" s="1056"/>
      <c r="AN910" s="1056"/>
      <c r="AO910" s="1056"/>
      <c r="AP910" s="1056"/>
      <c r="AQ910" s="1056"/>
      <c r="AR910" s="1056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</row>
    <row r="911" spans="1:86" s="53" customFormat="1" ht="22.5" hidden="1" customHeight="1" x14ac:dyDescent="0.2">
      <c r="A911" s="1393">
        <v>11</v>
      </c>
      <c r="B911" s="1447">
        <v>2239588</v>
      </c>
      <c r="C911" s="1678" t="s">
        <v>137</v>
      </c>
      <c r="D911" s="1459">
        <v>1.4</v>
      </c>
      <c r="E911" s="1447">
        <v>7000</v>
      </c>
      <c r="F911" s="1459">
        <v>1.4</v>
      </c>
      <c r="G911" s="1447">
        <v>7000</v>
      </c>
      <c r="H911" s="1056"/>
      <c r="I911" s="1056"/>
      <c r="J911" s="1056"/>
      <c r="K911" s="1056"/>
      <c r="L911" s="1056"/>
      <c r="M911" s="1056"/>
      <c r="N911" s="1056"/>
      <c r="O911" s="1056"/>
      <c r="P911" s="1056"/>
      <c r="Q911" s="1056"/>
      <c r="R911" s="1056"/>
      <c r="S911" s="296"/>
      <c r="T911" s="294"/>
      <c r="U911" s="294"/>
      <c r="V911" s="294"/>
      <c r="W911" s="84"/>
      <c r="X911" s="85"/>
      <c r="Y911" s="295"/>
      <c r="Z911" s="1056"/>
      <c r="AA911" s="1056"/>
      <c r="AB911" s="1056"/>
      <c r="AC911" s="1056"/>
      <c r="AD911" s="1056"/>
      <c r="AE911" s="1056"/>
      <c r="AF911" s="244"/>
      <c r="AG911" s="244"/>
      <c r="AH911" s="244"/>
      <c r="AI911" s="90"/>
      <c r="AJ911" s="1054"/>
      <c r="AK911" s="751"/>
      <c r="AL911" s="1456" t="s">
        <v>504</v>
      </c>
      <c r="AM911" s="1456" t="s">
        <v>496</v>
      </c>
      <c r="AN911" s="1456" t="s">
        <v>506</v>
      </c>
      <c r="AO911" s="90">
        <v>1.4</v>
      </c>
      <c r="AP911" s="1054" t="s">
        <v>2</v>
      </c>
      <c r="AQ911" s="1731">
        <v>7020</v>
      </c>
      <c r="AR911" s="1056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</row>
    <row r="912" spans="1:86" s="53" customFormat="1" ht="22.5" hidden="1" customHeight="1" x14ac:dyDescent="0.2">
      <c r="A912" s="1394"/>
      <c r="B912" s="1449"/>
      <c r="C912" s="1870"/>
      <c r="D912" s="1461"/>
      <c r="E912" s="1449"/>
      <c r="F912" s="1461"/>
      <c r="G912" s="1449"/>
      <c r="H912" s="1056"/>
      <c r="I912" s="1056"/>
      <c r="J912" s="1056"/>
      <c r="K912" s="1056"/>
      <c r="L912" s="1056"/>
      <c r="M912" s="1056"/>
      <c r="N912" s="1056"/>
      <c r="O912" s="1056"/>
      <c r="P912" s="1056"/>
      <c r="Q912" s="1056"/>
      <c r="R912" s="1056"/>
      <c r="S912" s="296"/>
      <c r="T912" s="294"/>
      <c r="U912" s="294"/>
      <c r="V912" s="294"/>
      <c r="W912" s="84"/>
      <c r="X912" s="85"/>
      <c r="Y912" s="295"/>
      <c r="Z912" s="1056"/>
      <c r="AA912" s="1056"/>
      <c r="AB912" s="1056"/>
      <c r="AC912" s="1056"/>
      <c r="AD912" s="1056"/>
      <c r="AE912" s="1056"/>
      <c r="AF912" s="49"/>
      <c r="AG912" s="49"/>
      <c r="AH912" s="49"/>
      <c r="AI912" s="1054"/>
      <c r="AJ912" s="1054"/>
      <c r="AK912" s="752"/>
      <c r="AL912" s="1457"/>
      <c r="AM912" s="1457"/>
      <c r="AN912" s="1457"/>
      <c r="AO912" s="1054">
        <v>7000</v>
      </c>
      <c r="AP912" s="1054" t="s">
        <v>507</v>
      </c>
      <c r="AQ912" s="1733"/>
      <c r="AR912" s="1056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</row>
    <row r="913" spans="1:86" s="53" customFormat="1" ht="22.5" hidden="1" customHeight="1" x14ac:dyDescent="0.2">
      <c r="A913" s="1393">
        <v>23</v>
      </c>
      <c r="B913" s="1462">
        <v>2243495</v>
      </c>
      <c r="C913" s="1343" t="s">
        <v>140</v>
      </c>
      <c r="D913" s="1475">
        <v>0.6</v>
      </c>
      <c r="E913" s="1462">
        <v>3000</v>
      </c>
      <c r="F913" s="1475">
        <v>0.6</v>
      </c>
      <c r="G913" s="1462">
        <v>3000</v>
      </c>
      <c r="H913" s="1056"/>
      <c r="I913" s="1056"/>
      <c r="J913" s="1056"/>
      <c r="K913" s="1056"/>
      <c r="L913" s="1056"/>
      <c r="M913" s="1056"/>
      <c r="N913" s="1056"/>
      <c r="O913" s="1056"/>
      <c r="P913" s="1056"/>
      <c r="Q913" s="1056"/>
      <c r="R913" s="1056"/>
      <c r="S913" s="296"/>
      <c r="T913" s="294"/>
      <c r="U913" s="294"/>
      <c r="V913" s="294"/>
      <c r="W913" s="84"/>
      <c r="X913" s="85"/>
      <c r="Y913" s="295"/>
      <c r="Z913" s="1056"/>
      <c r="AA913" s="1056"/>
      <c r="AB913" s="1056"/>
      <c r="AC913" s="1056"/>
      <c r="AD913" s="1056"/>
      <c r="AE913" s="1056"/>
      <c r="AF913" s="1456" t="s">
        <v>504</v>
      </c>
      <c r="AG913" s="1456" t="s">
        <v>547</v>
      </c>
      <c r="AH913" s="1456" t="s">
        <v>506</v>
      </c>
      <c r="AI913" s="90"/>
      <c r="AJ913" s="1054" t="s">
        <v>2</v>
      </c>
      <c r="AK913" s="1731"/>
      <c r="AL913" s="295"/>
      <c r="AM913" s="1056"/>
      <c r="AN913" s="1056"/>
      <c r="AO913" s="1056"/>
      <c r="AP913" s="1056"/>
      <c r="AQ913" s="1056"/>
      <c r="AR913" s="1056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</row>
    <row r="914" spans="1:86" s="53" customFormat="1" ht="22.5" hidden="1" customHeight="1" x14ac:dyDescent="0.2">
      <c r="A914" s="1394"/>
      <c r="B914" s="1402"/>
      <c r="C914" s="1531"/>
      <c r="D914" s="1451"/>
      <c r="E914" s="1402"/>
      <c r="F914" s="1451"/>
      <c r="G914" s="1402"/>
      <c r="H914" s="1056"/>
      <c r="I914" s="1056"/>
      <c r="J914" s="1056"/>
      <c r="K914" s="1056"/>
      <c r="L914" s="1056"/>
      <c r="M914" s="1056"/>
      <c r="N914" s="1056"/>
      <c r="O914" s="1056"/>
      <c r="P914" s="1056"/>
      <c r="Q914" s="1056"/>
      <c r="R914" s="1056"/>
      <c r="S914" s="296"/>
      <c r="T914" s="294"/>
      <c r="U914" s="294"/>
      <c r="V914" s="294"/>
      <c r="W914" s="84"/>
      <c r="X914" s="85"/>
      <c r="Y914" s="295"/>
      <c r="Z914" s="1056"/>
      <c r="AA914" s="1056"/>
      <c r="AB914" s="1056"/>
      <c r="AC914" s="1056"/>
      <c r="AD914" s="1056"/>
      <c r="AE914" s="1056"/>
      <c r="AF914" s="1458"/>
      <c r="AG914" s="1458"/>
      <c r="AH914" s="1457"/>
      <c r="AI914" s="1054"/>
      <c r="AJ914" s="1054" t="s">
        <v>507</v>
      </c>
      <c r="AK914" s="1732"/>
      <c r="AL914" s="1056"/>
      <c r="AM914" s="1056"/>
      <c r="AN914" s="1056"/>
      <c r="AO914" s="1056"/>
      <c r="AP914" s="1056"/>
      <c r="AQ914" s="1056"/>
      <c r="AR914" s="1056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</row>
    <row r="915" spans="1:86" s="53" customFormat="1" ht="22.5" hidden="1" customHeight="1" x14ac:dyDescent="0.2">
      <c r="A915" s="1026"/>
      <c r="B915" s="1463"/>
      <c r="C915" s="1532"/>
      <c r="D915" s="1476"/>
      <c r="E915" s="1463"/>
      <c r="F915" s="1476"/>
      <c r="G915" s="1463"/>
      <c r="H915" s="1056"/>
      <c r="I915" s="1056"/>
      <c r="J915" s="1056"/>
      <c r="K915" s="1056"/>
      <c r="L915" s="1056"/>
      <c r="M915" s="1056"/>
      <c r="N915" s="1056"/>
      <c r="O915" s="1056"/>
      <c r="P915" s="1056"/>
      <c r="Q915" s="1056"/>
      <c r="R915" s="1056"/>
      <c r="S915" s="296"/>
      <c r="T915" s="294"/>
      <c r="U915" s="294"/>
      <c r="V915" s="294"/>
      <c r="W915" s="84"/>
      <c r="X915" s="85"/>
      <c r="Y915" s="295"/>
      <c r="Z915" s="1056"/>
      <c r="AA915" s="1056"/>
      <c r="AB915" s="1056"/>
      <c r="AC915" s="1056"/>
      <c r="AD915" s="1056"/>
      <c r="AE915" s="1056"/>
      <c r="AF915" s="1457"/>
      <c r="AG915" s="1457"/>
      <c r="AH915" s="1054" t="s">
        <v>35</v>
      </c>
      <c r="AI915" s="1054">
        <v>5</v>
      </c>
      <c r="AJ915" s="1054" t="s">
        <v>8</v>
      </c>
      <c r="AK915" s="1733"/>
      <c r="AL915" s="1056"/>
      <c r="AM915" s="1056"/>
      <c r="AN915" s="1056"/>
      <c r="AO915" s="1056"/>
      <c r="AP915" s="1056"/>
      <c r="AQ915" s="1056"/>
      <c r="AR915" s="1056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</row>
    <row r="916" spans="1:86" s="53" customFormat="1" ht="22.5" hidden="1" customHeight="1" x14ac:dyDescent="0.2">
      <c r="A916" s="1026"/>
      <c r="B916" s="1447">
        <v>2241955</v>
      </c>
      <c r="C916" s="1343" t="s">
        <v>142</v>
      </c>
      <c r="D916" s="1459">
        <v>0.6</v>
      </c>
      <c r="E916" s="1447">
        <v>3000</v>
      </c>
      <c r="F916" s="1459">
        <v>0.6</v>
      </c>
      <c r="G916" s="1447">
        <v>3000</v>
      </c>
      <c r="H916" s="1056"/>
      <c r="I916" s="1056"/>
      <c r="J916" s="1056"/>
      <c r="K916" s="1056"/>
      <c r="L916" s="1056"/>
      <c r="M916" s="1056"/>
      <c r="N916" s="1056"/>
      <c r="O916" s="1056"/>
      <c r="P916" s="1056"/>
      <c r="Q916" s="1056"/>
      <c r="R916" s="1056"/>
      <c r="S916" s="296"/>
      <c r="T916" s="294"/>
      <c r="U916" s="294"/>
      <c r="V916" s="294"/>
      <c r="W916" s="84"/>
      <c r="X916" s="85"/>
      <c r="Y916" s="295"/>
      <c r="Z916" s="1056"/>
      <c r="AA916" s="1056"/>
      <c r="AB916" s="1056"/>
      <c r="AC916" s="1056"/>
      <c r="AD916" s="1056"/>
      <c r="AE916" s="1056"/>
      <c r="AF916" s="1456" t="s">
        <v>504</v>
      </c>
      <c r="AG916" s="1456" t="s">
        <v>547</v>
      </c>
      <c r="AH916" s="1456" t="s">
        <v>506</v>
      </c>
      <c r="AI916" s="90">
        <v>0.6</v>
      </c>
      <c r="AJ916" s="1054" t="s">
        <v>2</v>
      </c>
      <c r="AK916" s="1731">
        <v>1755</v>
      </c>
      <c r="AL916" s="295"/>
      <c r="AM916" s="1056"/>
      <c r="AN916" s="1056"/>
      <c r="AO916" s="1056"/>
      <c r="AP916" s="1056"/>
      <c r="AQ916" s="1056"/>
      <c r="AR916" s="1056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</row>
    <row r="917" spans="1:86" s="53" customFormat="1" ht="22.5" hidden="1" customHeight="1" x14ac:dyDescent="0.25">
      <c r="A917" s="1026"/>
      <c r="B917" s="1448"/>
      <c r="C917" s="1839"/>
      <c r="D917" s="1460"/>
      <c r="E917" s="1448"/>
      <c r="F917" s="1460"/>
      <c r="G917" s="1448"/>
      <c r="H917" s="1056"/>
      <c r="I917" s="1056"/>
      <c r="J917" s="1056"/>
      <c r="K917" s="1056"/>
      <c r="L917" s="1056"/>
      <c r="M917" s="1056"/>
      <c r="N917" s="1056"/>
      <c r="O917" s="1056"/>
      <c r="P917" s="1056"/>
      <c r="Q917" s="1056"/>
      <c r="R917" s="1056"/>
      <c r="S917" s="296"/>
      <c r="T917" s="294"/>
      <c r="U917" s="294"/>
      <c r="V917" s="294"/>
      <c r="W917" s="84"/>
      <c r="X917" s="85"/>
      <c r="Y917" s="295"/>
      <c r="Z917" s="1056"/>
      <c r="AA917" s="1056"/>
      <c r="AB917" s="1056"/>
      <c r="AC917" s="1056"/>
      <c r="AD917" s="1056"/>
      <c r="AE917" s="1056"/>
      <c r="AF917" s="1458"/>
      <c r="AG917" s="1458"/>
      <c r="AH917" s="1457"/>
      <c r="AI917" s="1054">
        <v>3000</v>
      </c>
      <c r="AJ917" s="1054" t="s">
        <v>507</v>
      </c>
      <c r="AK917" s="1732"/>
      <c r="AL917" s="51"/>
      <c r="AM917" s="1056"/>
      <c r="AN917" s="1056"/>
      <c r="AO917" s="1056"/>
      <c r="AP917" s="1056"/>
      <c r="AQ917" s="1056"/>
      <c r="AR917" s="1056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</row>
    <row r="918" spans="1:86" s="53" customFormat="1" ht="22.5" hidden="1" customHeight="1" x14ac:dyDescent="0.25">
      <c r="A918" s="1026"/>
      <c r="B918" s="1449"/>
      <c r="C918" s="1840"/>
      <c r="D918" s="1461"/>
      <c r="E918" s="1449"/>
      <c r="F918" s="1461"/>
      <c r="G918" s="1449"/>
      <c r="H918" s="1056"/>
      <c r="I918" s="1056"/>
      <c r="J918" s="1056"/>
      <c r="K918" s="1056"/>
      <c r="L918" s="1056"/>
      <c r="M918" s="1056"/>
      <c r="N918" s="1056"/>
      <c r="O918" s="1056"/>
      <c r="P918" s="1056"/>
      <c r="Q918" s="1056"/>
      <c r="R918" s="1056"/>
      <c r="S918" s="296"/>
      <c r="T918" s="294"/>
      <c r="U918" s="294"/>
      <c r="V918" s="294"/>
      <c r="W918" s="84"/>
      <c r="X918" s="85"/>
      <c r="Y918" s="295"/>
      <c r="Z918" s="1056"/>
      <c r="AA918" s="1056"/>
      <c r="AB918" s="1056"/>
      <c r="AC918" s="1056"/>
      <c r="AD918" s="1056"/>
      <c r="AE918" s="1056"/>
      <c r="AF918" s="1457"/>
      <c r="AG918" s="1457"/>
      <c r="AH918" s="1054" t="s">
        <v>35</v>
      </c>
      <c r="AI918" s="1054">
        <v>1</v>
      </c>
      <c r="AJ918" s="1054" t="s">
        <v>8</v>
      </c>
      <c r="AK918" s="1733"/>
      <c r="AL918" s="51"/>
      <c r="AM918" s="1056"/>
      <c r="AN918" s="1056"/>
      <c r="AO918" s="1056"/>
      <c r="AP918" s="1056"/>
      <c r="AQ918" s="1056"/>
      <c r="AR918" s="1056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</row>
    <row r="919" spans="1:86" s="53" customFormat="1" ht="22.5" hidden="1" customHeight="1" x14ac:dyDescent="0.2">
      <c r="A919" s="1026"/>
      <c r="B919" s="1447">
        <v>2241818</v>
      </c>
      <c r="C919" s="1343" t="s">
        <v>638</v>
      </c>
      <c r="D919" s="1459">
        <v>0.6</v>
      </c>
      <c r="E919" s="1447">
        <v>3000</v>
      </c>
      <c r="F919" s="1459">
        <v>0.6</v>
      </c>
      <c r="G919" s="1447">
        <v>3000</v>
      </c>
      <c r="H919" s="1056"/>
      <c r="I919" s="1056"/>
      <c r="J919" s="1056"/>
      <c r="K919" s="1056"/>
      <c r="L919" s="1056"/>
      <c r="M919" s="1056"/>
      <c r="N919" s="1056"/>
      <c r="O919" s="1056"/>
      <c r="P919" s="1056"/>
      <c r="Q919" s="1056"/>
      <c r="R919" s="1056"/>
      <c r="S919" s="296"/>
      <c r="T919" s="294"/>
      <c r="U919" s="294"/>
      <c r="V919" s="294"/>
      <c r="W919" s="84"/>
      <c r="X919" s="85"/>
      <c r="Y919" s="295"/>
      <c r="Z919" s="1056"/>
      <c r="AA919" s="1056"/>
      <c r="AB919" s="1056"/>
      <c r="AC919" s="1056"/>
      <c r="AD919" s="1056"/>
      <c r="AE919" s="1056"/>
      <c r="AF919" s="1456" t="s">
        <v>504</v>
      </c>
      <c r="AG919" s="1456" t="s">
        <v>547</v>
      </c>
      <c r="AH919" s="1456" t="s">
        <v>506</v>
      </c>
      <c r="AI919" s="90">
        <v>0.6</v>
      </c>
      <c r="AJ919" s="1054" t="s">
        <v>2</v>
      </c>
      <c r="AK919" s="1731">
        <v>1755</v>
      </c>
      <c r="AL919" s="295"/>
      <c r="AM919" s="1056"/>
      <c r="AN919" s="1056"/>
      <c r="AO919" s="1056"/>
      <c r="AP919" s="1056"/>
      <c r="AQ919" s="1056"/>
      <c r="AR919" s="1056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</row>
    <row r="920" spans="1:86" s="53" customFormat="1" ht="22.5" hidden="1" customHeight="1" x14ac:dyDescent="0.25">
      <c r="A920" s="1026"/>
      <c r="B920" s="1448"/>
      <c r="C920" s="1839"/>
      <c r="D920" s="1460"/>
      <c r="E920" s="1448"/>
      <c r="F920" s="1460"/>
      <c r="G920" s="1448"/>
      <c r="H920" s="1056"/>
      <c r="I920" s="1056"/>
      <c r="J920" s="1056"/>
      <c r="K920" s="1056"/>
      <c r="L920" s="1056"/>
      <c r="M920" s="1056"/>
      <c r="N920" s="1056"/>
      <c r="O920" s="1056"/>
      <c r="P920" s="1056"/>
      <c r="Q920" s="1056"/>
      <c r="R920" s="1056"/>
      <c r="S920" s="296"/>
      <c r="T920" s="294"/>
      <c r="U920" s="294"/>
      <c r="V920" s="294"/>
      <c r="W920" s="84"/>
      <c r="X920" s="85"/>
      <c r="Y920" s="295"/>
      <c r="Z920" s="1056"/>
      <c r="AA920" s="1056"/>
      <c r="AB920" s="1056"/>
      <c r="AC920" s="1056"/>
      <c r="AD920" s="1056"/>
      <c r="AE920" s="1056"/>
      <c r="AF920" s="1458"/>
      <c r="AG920" s="1458"/>
      <c r="AH920" s="1457"/>
      <c r="AI920" s="1054">
        <v>3000</v>
      </c>
      <c r="AJ920" s="1054" t="s">
        <v>507</v>
      </c>
      <c r="AK920" s="1732"/>
      <c r="AL920" s="51"/>
      <c r="AM920" s="1056"/>
      <c r="AN920" s="1056"/>
      <c r="AO920" s="1056"/>
      <c r="AP920" s="1056"/>
      <c r="AQ920" s="1056"/>
      <c r="AR920" s="1056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</row>
    <row r="921" spans="1:86" s="53" customFormat="1" ht="22.5" hidden="1" customHeight="1" x14ac:dyDescent="0.25">
      <c r="A921" s="1026"/>
      <c r="B921" s="1449"/>
      <c r="C921" s="1840"/>
      <c r="D921" s="1461"/>
      <c r="E921" s="1449"/>
      <c r="F921" s="1461"/>
      <c r="G921" s="1449"/>
      <c r="H921" s="1056"/>
      <c r="I921" s="1056"/>
      <c r="J921" s="1056"/>
      <c r="K921" s="1056"/>
      <c r="L921" s="1056"/>
      <c r="M921" s="1056"/>
      <c r="N921" s="1056"/>
      <c r="O921" s="1056"/>
      <c r="P921" s="1056"/>
      <c r="Q921" s="1056"/>
      <c r="R921" s="1056"/>
      <c r="S921" s="296"/>
      <c r="T921" s="294"/>
      <c r="U921" s="294"/>
      <c r="V921" s="294"/>
      <c r="W921" s="84"/>
      <c r="X921" s="85"/>
      <c r="Y921" s="295"/>
      <c r="Z921" s="1056"/>
      <c r="AA921" s="1056"/>
      <c r="AB921" s="1056"/>
      <c r="AC921" s="1056"/>
      <c r="AD921" s="1056"/>
      <c r="AE921" s="1056"/>
      <c r="AF921" s="1457"/>
      <c r="AG921" s="1457"/>
      <c r="AH921" s="1054" t="s">
        <v>35</v>
      </c>
      <c r="AI921" s="1054">
        <v>1</v>
      </c>
      <c r="AJ921" s="1054" t="s">
        <v>8</v>
      </c>
      <c r="AK921" s="1733"/>
      <c r="AL921" s="51"/>
      <c r="AM921" s="1056"/>
      <c r="AN921" s="1056"/>
      <c r="AO921" s="1056"/>
      <c r="AP921" s="1056"/>
      <c r="AQ921" s="1056"/>
      <c r="AR921" s="1056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</row>
    <row r="922" spans="1:86" s="53" customFormat="1" ht="22.5" hidden="1" customHeight="1" x14ac:dyDescent="0.2">
      <c r="A922" s="1026"/>
      <c r="B922" s="1447">
        <v>2243963</v>
      </c>
      <c r="C922" s="1343" t="s">
        <v>143</v>
      </c>
      <c r="D922" s="1459">
        <v>0.8</v>
      </c>
      <c r="E922" s="1447">
        <f>D922*5000</f>
        <v>4000</v>
      </c>
      <c r="F922" s="1459">
        <v>0.6</v>
      </c>
      <c r="G922" s="1447">
        <v>3000</v>
      </c>
      <c r="H922" s="1056"/>
      <c r="I922" s="1056"/>
      <c r="J922" s="1056"/>
      <c r="K922" s="1056"/>
      <c r="L922" s="1056"/>
      <c r="M922" s="1056"/>
      <c r="N922" s="1056"/>
      <c r="O922" s="1056"/>
      <c r="P922" s="1056"/>
      <c r="Q922" s="1056"/>
      <c r="R922" s="1056"/>
      <c r="S922" s="296"/>
      <c r="T922" s="294"/>
      <c r="U922" s="294"/>
      <c r="V922" s="294"/>
      <c r="W922" s="84"/>
      <c r="X922" s="85"/>
      <c r="Y922" s="295"/>
      <c r="Z922" s="1056"/>
      <c r="AA922" s="1056"/>
      <c r="AB922" s="1056"/>
      <c r="AC922" s="1056"/>
      <c r="AD922" s="1056"/>
      <c r="AE922" s="1056"/>
      <c r="AF922" s="1456" t="s">
        <v>504</v>
      </c>
      <c r="AG922" s="1456" t="s">
        <v>547</v>
      </c>
      <c r="AH922" s="1456" t="s">
        <v>506</v>
      </c>
      <c r="AI922" s="90">
        <v>0.6</v>
      </c>
      <c r="AJ922" s="1054" t="s">
        <v>2</v>
      </c>
      <c r="AK922" s="1731">
        <v>1800</v>
      </c>
      <c r="AL922" s="295"/>
      <c r="AM922" s="1056"/>
      <c r="AN922" s="1056"/>
      <c r="AO922" s="1056"/>
      <c r="AP922" s="1056"/>
      <c r="AQ922" s="1056"/>
      <c r="AR922" s="1056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</row>
    <row r="923" spans="1:86" s="53" customFormat="1" ht="22.5" hidden="1" customHeight="1" x14ac:dyDescent="0.25">
      <c r="A923" s="1026"/>
      <c r="B923" s="1448"/>
      <c r="C923" s="1839"/>
      <c r="D923" s="1460"/>
      <c r="E923" s="1448"/>
      <c r="F923" s="1460"/>
      <c r="G923" s="1448"/>
      <c r="H923" s="1056"/>
      <c r="I923" s="1056"/>
      <c r="J923" s="1056"/>
      <c r="K923" s="1056"/>
      <c r="L923" s="1056"/>
      <c r="M923" s="1056"/>
      <c r="N923" s="1056"/>
      <c r="O923" s="1056"/>
      <c r="P923" s="1056"/>
      <c r="Q923" s="1056"/>
      <c r="R923" s="1056"/>
      <c r="S923" s="296"/>
      <c r="T923" s="294"/>
      <c r="U923" s="294"/>
      <c r="V923" s="294"/>
      <c r="W923" s="84"/>
      <c r="X923" s="85"/>
      <c r="Y923" s="295"/>
      <c r="Z923" s="1056"/>
      <c r="AA923" s="1056"/>
      <c r="AB923" s="1056"/>
      <c r="AC923" s="1056"/>
      <c r="AD923" s="1056"/>
      <c r="AE923" s="1056"/>
      <c r="AF923" s="1458"/>
      <c r="AG923" s="1458"/>
      <c r="AH923" s="1457"/>
      <c r="AI923" s="1054">
        <v>3000</v>
      </c>
      <c r="AJ923" s="1054" t="s">
        <v>507</v>
      </c>
      <c r="AK923" s="1732"/>
      <c r="AL923" s="51"/>
      <c r="AM923" s="1056"/>
      <c r="AN923" s="1056"/>
      <c r="AO923" s="1056"/>
      <c r="AP923" s="1056"/>
      <c r="AQ923" s="1056"/>
      <c r="AR923" s="1056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</row>
    <row r="924" spans="1:86" s="53" customFormat="1" ht="22.5" hidden="1" customHeight="1" x14ac:dyDescent="0.2">
      <c r="A924" s="1026"/>
      <c r="B924" s="1449"/>
      <c r="C924" s="1840"/>
      <c r="D924" s="1461"/>
      <c r="E924" s="1449"/>
      <c r="F924" s="1461"/>
      <c r="G924" s="1449"/>
      <c r="H924" s="1056"/>
      <c r="I924" s="1056"/>
      <c r="J924" s="1056"/>
      <c r="K924" s="1056"/>
      <c r="L924" s="1056"/>
      <c r="M924" s="1056"/>
      <c r="N924" s="1056"/>
      <c r="O924" s="1056"/>
      <c r="P924" s="1056"/>
      <c r="Q924" s="1056"/>
      <c r="R924" s="1056"/>
      <c r="S924" s="296"/>
      <c r="T924" s="294"/>
      <c r="U924" s="294"/>
      <c r="V924" s="294"/>
      <c r="W924" s="84"/>
      <c r="X924" s="85"/>
      <c r="Y924" s="295"/>
      <c r="Z924" s="1056"/>
      <c r="AA924" s="1056"/>
      <c r="AB924" s="1056"/>
      <c r="AC924" s="1056"/>
      <c r="AD924" s="1056"/>
      <c r="AE924" s="1056"/>
      <c r="AF924" s="1457"/>
      <c r="AG924" s="1457"/>
      <c r="AH924" s="1054" t="s">
        <v>35</v>
      </c>
      <c r="AI924" s="1054">
        <v>4</v>
      </c>
      <c r="AJ924" s="1054" t="s">
        <v>8</v>
      </c>
      <c r="AK924" s="1733"/>
      <c r="AL924" s="295"/>
      <c r="AM924" s="1056"/>
      <c r="AN924" s="1056"/>
      <c r="AO924" s="1056"/>
      <c r="AP924" s="1056"/>
      <c r="AQ924" s="1056"/>
      <c r="AR924" s="1056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</row>
    <row r="925" spans="1:86" s="53" customFormat="1" ht="22.5" hidden="1" customHeight="1" x14ac:dyDescent="0.2">
      <c r="A925" s="1026"/>
      <c r="B925" s="1447">
        <v>2240538</v>
      </c>
      <c r="C925" s="1343" t="s">
        <v>148</v>
      </c>
      <c r="D925" s="1459">
        <v>1.5</v>
      </c>
      <c r="E925" s="1447">
        <f>D925*7500</f>
        <v>11250</v>
      </c>
      <c r="F925" s="1459">
        <v>1</v>
      </c>
      <c r="G925" s="1447">
        <v>7500</v>
      </c>
      <c r="H925" s="1056"/>
      <c r="I925" s="1056"/>
      <c r="J925" s="1056"/>
      <c r="K925" s="1056"/>
      <c r="L925" s="1056"/>
      <c r="M925" s="1056"/>
      <c r="N925" s="1056"/>
      <c r="O925" s="1056"/>
      <c r="P925" s="1056"/>
      <c r="Q925" s="1056"/>
      <c r="R925" s="1056"/>
      <c r="S925" s="296"/>
      <c r="T925" s="294"/>
      <c r="U925" s="294"/>
      <c r="V925" s="294"/>
      <c r="W925" s="84"/>
      <c r="X925" s="85"/>
      <c r="Y925" s="295"/>
      <c r="Z925" s="1056"/>
      <c r="AA925" s="1056"/>
      <c r="AB925" s="1056"/>
      <c r="AC925" s="1056"/>
      <c r="AD925" s="1056"/>
      <c r="AE925" s="1056"/>
      <c r="AF925" s="1456" t="s">
        <v>504</v>
      </c>
      <c r="AG925" s="1456" t="s">
        <v>508</v>
      </c>
      <c r="AH925" s="1456" t="s">
        <v>506</v>
      </c>
      <c r="AI925" s="90">
        <v>1</v>
      </c>
      <c r="AJ925" s="1054" t="s">
        <v>2</v>
      </c>
      <c r="AK925" s="1731">
        <v>4960</v>
      </c>
      <c r="AL925" s="295"/>
      <c r="AM925" s="1056"/>
      <c r="AN925" s="1056"/>
      <c r="AO925" s="1056"/>
      <c r="AP925" s="1056"/>
      <c r="AQ925" s="1056"/>
      <c r="AR925" s="1056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</row>
    <row r="926" spans="1:86" s="53" customFormat="1" ht="22.5" hidden="1" customHeight="1" x14ac:dyDescent="0.25">
      <c r="A926" s="1026"/>
      <c r="B926" s="1448"/>
      <c r="C926" s="1839"/>
      <c r="D926" s="1460"/>
      <c r="E926" s="1448"/>
      <c r="F926" s="1460"/>
      <c r="G926" s="1448"/>
      <c r="H926" s="1056"/>
      <c r="I926" s="1056"/>
      <c r="J926" s="1056"/>
      <c r="K926" s="1056"/>
      <c r="L926" s="1056"/>
      <c r="M926" s="1056"/>
      <c r="N926" s="1056"/>
      <c r="O926" s="1056"/>
      <c r="P926" s="1056"/>
      <c r="Q926" s="1056"/>
      <c r="R926" s="1056"/>
      <c r="S926" s="296"/>
      <c r="T926" s="294"/>
      <c r="U926" s="294"/>
      <c r="V926" s="294"/>
      <c r="W926" s="84"/>
      <c r="X926" s="85"/>
      <c r="Y926" s="295"/>
      <c r="Z926" s="1056"/>
      <c r="AA926" s="1056"/>
      <c r="AB926" s="1056"/>
      <c r="AC926" s="1056"/>
      <c r="AD926" s="1056"/>
      <c r="AE926" s="1056"/>
      <c r="AF926" s="1458"/>
      <c r="AG926" s="1458"/>
      <c r="AH926" s="1457"/>
      <c r="AI926" s="1054">
        <v>7500</v>
      </c>
      <c r="AJ926" s="1054" t="s">
        <v>507</v>
      </c>
      <c r="AK926" s="1732"/>
      <c r="AL926" s="51"/>
      <c r="AM926" s="1056"/>
      <c r="AN926" s="1056"/>
      <c r="AO926" s="1056"/>
      <c r="AP926" s="1056"/>
      <c r="AQ926" s="1056"/>
      <c r="AR926" s="1056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</row>
    <row r="927" spans="1:86" s="53" customFormat="1" ht="22.5" hidden="1" customHeight="1" x14ac:dyDescent="0.25">
      <c r="A927" s="1026"/>
      <c r="B927" s="1449"/>
      <c r="C927" s="1840"/>
      <c r="D927" s="1461"/>
      <c r="E927" s="1449"/>
      <c r="F927" s="1461"/>
      <c r="G927" s="1449"/>
      <c r="H927" s="1056"/>
      <c r="I927" s="1056"/>
      <c r="J927" s="1056"/>
      <c r="K927" s="1056"/>
      <c r="L927" s="1056"/>
      <c r="M927" s="1056"/>
      <c r="N927" s="1056"/>
      <c r="O927" s="1056"/>
      <c r="P927" s="1056"/>
      <c r="Q927" s="1056"/>
      <c r="R927" s="1056"/>
      <c r="S927" s="296"/>
      <c r="T927" s="294"/>
      <c r="U927" s="294"/>
      <c r="V927" s="294"/>
      <c r="W927" s="84"/>
      <c r="X927" s="85"/>
      <c r="Y927" s="295"/>
      <c r="Z927" s="1056"/>
      <c r="AA927" s="1056"/>
      <c r="AB927" s="1056"/>
      <c r="AC927" s="1056"/>
      <c r="AD927" s="1056"/>
      <c r="AE927" s="1056"/>
      <c r="AF927" s="1457"/>
      <c r="AG927" s="1457"/>
      <c r="AH927" s="1054" t="s">
        <v>35</v>
      </c>
      <c r="AI927" s="1054">
        <v>4</v>
      </c>
      <c r="AJ927" s="1054" t="s">
        <v>8</v>
      </c>
      <c r="AK927" s="1733"/>
      <c r="AL927" s="51"/>
      <c r="AM927" s="1056"/>
      <c r="AN927" s="1056"/>
      <c r="AO927" s="1056"/>
      <c r="AP927" s="1056"/>
      <c r="AQ927" s="1056"/>
      <c r="AR927" s="1056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</row>
    <row r="928" spans="1:86" s="53" customFormat="1" ht="22.5" hidden="1" customHeight="1" x14ac:dyDescent="0.2">
      <c r="A928" s="1026"/>
      <c r="B928" s="1447">
        <v>2239095</v>
      </c>
      <c r="C928" s="1343" t="s">
        <v>149</v>
      </c>
      <c r="D928" s="1459">
        <v>0.5</v>
      </c>
      <c r="E928" s="1447">
        <f>D928*4000</f>
        <v>2000</v>
      </c>
      <c r="F928" s="1459">
        <v>0.5</v>
      </c>
      <c r="G928" s="1447">
        <f>F928*4000</f>
        <v>2000</v>
      </c>
      <c r="H928" s="1056"/>
      <c r="I928" s="1056"/>
      <c r="J928" s="1056"/>
      <c r="K928" s="1056"/>
      <c r="L928" s="1056"/>
      <c r="M928" s="1056"/>
      <c r="N928" s="1056"/>
      <c r="O928" s="1056"/>
      <c r="P928" s="1056"/>
      <c r="Q928" s="1056"/>
      <c r="R928" s="1056"/>
      <c r="S928" s="296"/>
      <c r="T928" s="294"/>
      <c r="U928" s="294"/>
      <c r="V928" s="294"/>
      <c r="W928" s="84"/>
      <c r="X928" s="85"/>
      <c r="Y928" s="295"/>
      <c r="Z928" s="1056"/>
      <c r="AA928" s="1056"/>
      <c r="AB928" s="1056"/>
      <c r="AC928" s="1056"/>
      <c r="AD928" s="1056"/>
      <c r="AE928" s="1056"/>
      <c r="AF928" s="1456" t="s">
        <v>504</v>
      </c>
      <c r="AG928" s="1456" t="s">
        <v>546</v>
      </c>
      <c r="AH928" s="1456" t="s">
        <v>506</v>
      </c>
      <c r="AI928" s="90">
        <v>0.5</v>
      </c>
      <c r="AJ928" s="1054" t="s">
        <v>2</v>
      </c>
      <c r="AK928" s="1731">
        <f>AI928*3990</f>
        <v>1995</v>
      </c>
      <c r="AL928" s="295"/>
      <c r="AM928" s="1056"/>
      <c r="AN928" s="1056"/>
      <c r="AO928" s="1056"/>
      <c r="AP928" s="1056"/>
      <c r="AQ928" s="1056"/>
      <c r="AR928" s="1056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</row>
    <row r="929" spans="1:86" s="53" customFormat="1" ht="22.5" hidden="1" customHeight="1" x14ac:dyDescent="0.25">
      <c r="A929" s="1026"/>
      <c r="B929" s="1448"/>
      <c r="C929" s="1839"/>
      <c r="D929" s="1460"/>
      <c r="E929" s="1448"/>
      <c r="F929" s="1460"/>
      <c r="G929" s="1448"/>
      <c r="H929" s="1056"/>
      <c r="I929" s="1056"/>
      <c r="J929" s="1056"/>
      <c r="K929" s="1056"/>
      <c r="L929" s="1056"/>
      <c r="M929" s="1056"/>
      <c r="N929" s="1056"/>
      <c r="O929" s="1056"/>
      <c r="P929" s="1056"/>
      <c r="Q929" s="1056"/>
      <c r="R929" s="1056"/>
      <c r="S929" s="296"/>
      <c r="T929" s="294"/>
      <c r="U929" s="294"/>
      <c r="V929" s="294"/>
      <c r="W929" s="84"/>
      <c r="X929" s="85"/>
      <c r="Y929" s="295"/>
      <c r="Z929" s="1056"/>
      <c r="AA929" s="1056"/>
      <c r="AB929" s="1056"/>
      <c r="AC929" s="1056"/>
      <c r="AD929" s="1056"/>
      <c r="AE929" s="1056"/>
      <c r="AF929" s="1458"/>
      <c r="AG929" s="1458"/>
      <c r="AH929" s="1457"/>
      <c r="AI929" s="1054">
        <v>2000</v>
      </c>
      <c r="AJ929" s="1054" t="s">
        <v>507</v>
      </c>
      <c r="AK929" s="1732"/>
      <c r="AL929" s="51"/>
      <c r="AM929" s="1056"/>
      <c r="AN929" s="1056"/>
      <c r="AO929" s="1056"/>
      <c r="AP929" s="1056"/>
      <c r="AQ929" s="1056"/>
      <c r="AR929" s="1056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</row>
    <row r="930" spans="1:86" s="53" customFormat="1" ht="22.5" hidden="1" customHeight="1" x14ac:dyDescent="0.25">
      <c r="A930" s="1026"/>
      <c r="B930" s="1449"/>
      <c r="C930" s="1840"/>
      <c r="D930" s="1461"/>
      <c r="E930" s="1449"/>
      <c r="F930" s="1461"/>
      <c r="G930" s="1449"/>
      <c r="H930" s="1056"/>
      <c r="I930" s="1056"/>
      <c r="J930" s="1056"/>
      <c r="K930" s="1056"/>
      <c r="L930" s="1056"/>
      <c r="M930" s="1056"/>
      <c r="N930" s="1056"/>
      <c r="O930" s="1056"/>
      <c r="P930" s="1056"/>
      <c r="Q930" s="1056"/>
      <c r="R930" s="1056"/>
      <c r="S930" s="296"/>
      <c r="T930" s="294"/>
      <c r="U930" s="294"/>
      <c r="V930" s="294"/>
      <c r="W930" s="84"/>
      <c r="X930" s="85"/>
      <c r="Y930" s="295"/>
      <c r="Z930" s="1056"/>
      <c r="AA930" s="1056"/>
      <c r="AB930" s="1056"/>
      <c r="AC930" s="1056"/>
      <c r="AD930" s="1056"/>
      <c r="AE930" s="1056"/>
      <c r="AF930" s="1457"/>
      <c r="AG930" s="1457"/>
      <c r="AH930" s="1054" t="s">
        <v>35</v>
      </c>
      <c r="AI930" s="1054">
        <v>6</v>
      </c>
      <c r="AJ930" s="1054" t="s">
        <v>8</v>
      </c>
      <c r="AK930" s="1733"/>
      <c r="AL930" s="51"/>
      <c r="AM930" s="1056"/>
      <c r="AN930" s="1056"/>
      <c r="AO930" s="1056"/>
      <c r="AP930" s="1056"/>
      <c r="AQ930" s="1056"/>
      <c r="AR930" s="1056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</row>
    <row r="931" spans="1:86" s="53" customFormat="1" ht="22.5" hidden="1" customHeight="1" x14ac:dyDescent="0.2">
      <c r="A931" s="1026"/>
      <c r="B931" s="1447">
        <v>2245131</v>
      </c>
      <c r="C931" s="1343" t="s">
        <v>639</v>
      </c>
      <c r="D931" s="1480">
        <v>0.4</v>
      </c>
      <c r="E931" s="1456">
        <v>2000</v>
      </c>
      <c r="F931" s="1480">
        <v>0.4</v>
      </c>
      <c r="G931" s="1456">
        <v>200</v>
      </c>
      <c r="H931" s="1056"/>
      <c r="I931" s="1056"/>
      <c r="J931" s="1056"/>
      <c r="K931" s="1056"/>
      <c r="L931" s="1056"/>
      <c r="M931" s="1056"/>
      <c r="N931" s="1056"/>
      <c r="O931" s="1056"/>
      <c r="P931" s="1056"/>
      <c r="Q931" s="1056"/>
      <c r="R931" s="1056"/>
      <c r="S931" s="296"/>
      <c r="T931" s="294"/>
      <c r="U931" s="294"/>
      <c r="V931" s="294"/>
      <c r="W931" s="84"/>
      <c r="X931" s="85"/>
      <c r="Y931" s="295"/>
      <c r="Z931" s="1056"/>
      <c r="AA931" s="1056"/>
      <c r="AB931" s="1056"/>
      <c r="AC931" s="1056"/>
      <c r="AD931" s="1056"/>
      <c r="AE931" s="1056"/>
      <c r="AF931" s="1456" t="s">
        <v>504</v>
      </c>
      <c r="AG931" s="1447" t="s">
        <v>548</v>
      </c>
      <c r="AH931" s="1456" t="s">
        <v>506</v>
      </c>
      <c r="AI931" s="242">
        <v>0.4</v>
      </c>
      <c r="AJ931" s="1055" t="s">
        <v>2</v>
      </c>
      <c r="AK931" s="1442">
        <f>AI931*3300</f>
        <v>1320</v>
      </c>
      <c r="AL931" s="295"/>
      <c r="AM931" s="1056"/>
      <c r="AN931" s="1056"/>
      <c r="AO931" s="1056"/>
      <c r="AP931" s="1056"/>
      <c r="AQ931" s="1056"/>
      <c r="AR931" s="1056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</row>
    <row r="932" spans="1:86" s="53" customFormat="1" ht="22.5" hidden="1" customHeight="1" x14ac:dyDescent="0.25">
      <c r="A932" s="1026"/>
      <c r="B932" s="1448"/>
      <c r="C932" s="1839"/>
      <c r="D932" s="1569"/>
      <c r="E932" s="1570"/>
      <c r="F932" s="1569"/>
      <c r="G932" s="1570"/>
      <c r="H932" s="1056"/>
      <c r="I932" s="1056"/>
      <c r="J932" s="1056"/>
      <c r="K932" s="1056"/>
      <c r="L932" s="1056"/>
      <c r="M932" s="1056"/>
      <c r="N932" s="1056"/>
      <c r="O932" s="1056"/>
      <c r="P932" s="1056"/>
      <c r="Q932" s="1056"/>
      <c r="R932" s="1056"/>
      <c r="S932" s="296"/>
      <c r="T932" s="294"/>
      <c r="U932" s="294"/>
      <c r="V932" s="294"/>
      <c r="W932" s="84"/>
      <c r="X932" s="85"/>
      <c r="Y932" s="295"/>
      <c r="Z932" s="1056"/>
      <c r="AA932" s="1056"/>
      <c r="AB932" s="1056"/>
      <c r="AC932" s="1056"/>
      <c r="AD932" s="1056"/>
      <c r="AE932" s="1056"/>
      <c r="AF932" s="1458"/>
      <c r="AG932" s="1448"/>
      <c r="AH932" s="1479"/>
      <c r="AI932" s="1055">
        <v>2000</v>
      </c>
      <c r="AJ932" s="1055" t="s">
        <v>507</v>
      </c>
      <c r="AK932" s="1443"/>
      <c r="AL932" s="51"/>
      <c r="AM932" s="1056"/>
      <c r="AN932" s="1056"/>
      <c r="AO932" s="1056"/>
      <c r="AP932" s="1056"/>
      <c r="AQ932" s="1056"/>
      <c r="AR932" s="1056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</row>
    <row r="933" spans="1:86" s="53" customFormat="1" ht="22.5" hidden="1" customHeight="1" x14ac:dyDescent="0.25">
      <c r="A933" s="1026"/>
      <c r="B933" s="1449"/>
      <c r="C933" s="1840"/>
      <c r="D933" s="1481"/>
      <c r="E933" s="1479"/>
      <c r="F933" s="1481"/>
      <c r="G933" s="1479"/>
      <c r="H933" s="1056"/>
      <c r="I933" s="1056"/>
      <c r="J933" s="1056"/>
      <c r="K933" s="1056"/>
      <c r="L933" s="1056"/>
      <c r="M933" s="1056"/>
      <c r="N933" s="1056"/>
      <c r="O933" s="1056"/>
      <c r="P933" s="1056"/>
      <c r="Q933" s="1056"/>
      <c r="R933" s="1056"/>
      <c r="S933" s="296"/>
      <c r="T933" s="294"/>
      <c r="U933" s="294"/>
      <c r="V933" s="294"/>
      <c r="W933" s="84"/>
      <c r="X933" s="85"/>
      <c r="Y933" s="295"/>
      <c r="Z933" s="1056"/>
      <c r="AA933" s="1056"/>
      <c r="AB933" s="1056"/>
      <c r="AC933" s="1056"/>
      <c r="AD933" s="1056"/>
      <c r="AE933" s="1056"/>
      <c r="AF933" s="1457"/>
      <c r="AG933" s="1449"/>
      <c r="AH933" s="1054" t="s">
        <v>35</v>
      </c>
      <c r="AI933" s="1055">
        <v>8</v>
      </c>
      <c r="AJ933" s="1055" t="s">
        <v>8</v>
      </c>
      <c r="AK933" s="1444"/>
      <c r="AL933" s="51"/>
      <c r="AM933" s="1056"/>
      <c r="AN933" s="1056"/>
      <c r="AO933" s="1056"/>
      <c r="AP933" s="1056"/>
      <c r="AQ933" s="1056"/>
      <c r="AR933" s="1056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</row>
    <row r="934" spans="1:86" s="53" customFormat="1" ht="22.5" hidden="1" customHeight="1" x14ac:dyDescent="0.2">
      <c r="A934" s="1026"/>
      <c r="B934" s="1447">
        <v>2240614</v>
      </c>
      <c r="C934" s="1343" t="s">
        <v>158</v>
      </c>
      <c r="D934" s="1480">
        <v>0.7</v>
      </c>
      <c r="E934" s="1456">
        <v>3500</v>
      </c>
      <c r="F934" s="1480">
        <v>0.7</v>
      </c>
      <c r="G934" s="1456">
        <v>3500</v>
      </c>
      <c r="H934" s="1056"/>
      <c r="I934" s="1056"/>
      <c r="J934" s="1056"/>
      <c r="K934" s="1056"/>
      <c r="L934" s="1056"/>
      <c r="M934" s="1056"/>
      <c r="N934" s="1056"/>
      <c r="O934" s="1056"/>
      <c r="P934" s="1056"/>
      <c r="Q934" s="1056"/>
      <c r="R934" s="1056"/>
      <c r="S934" s="296"/>
      <c r="T934" s="294"/>
      <c r="U934" s="294"/>
      <c r="V934" s="294"/>
      <c r="W934" s="84"/>
      <c r="X934" s="85"/>
      <c r="Y934" s="295"/>
      <c r="Z934" s="1056"/>
      <c r="AA934" s="1056"/>
      <c r="AB934" s="1056"/>
      <c r="AC934" s="1056"/>
      <c r="AD934" s="1056"/>
      <c r="AE934" s="1056"/>
      <c r="AF934" s="1456" t="s">
        <v>504</v>
      </c>
      <c r="AG934" s="1447" t="s">
        <v>550</v>
      </c>
      <c r="AH934" s="1456" t="s">
        <v>506</v>
      </c>
      <c r="AI934" s="242">
        <v>0.7</v>
      </c>
      <c r="AJ934" s="1055" t="s">
        <v>2</v>
      </c>
      <c r="AK934" s="1442">
        <v>2275</v>
      </c>
      <c r="AL934" s="295"/>
      <c r="AM934" s="1056"/>
      <c r="AN934" s="1056"/>
      <c r="AO934" s="1056"/>
      <c r="AP934" s="1056"/>
      <c r="AQ934" s="1056"/>
      <c r="AR934" s="1056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</row>
    <row r="935" spans="1:86" s="53" customFormat="1" ht="22.5" hidden="1" customHeight="1" x14ac:dyDescent="0.25">
      <c r="A935" s="1026"/>
      <c r="B935" s="1448"/>
      <c r="C935" s="1839"/>
      <c r="D935" s="1569"/>
      <c r="E935" s="1570"/>
      <c r="F935" s="1569"/>
      <c r="G935" s="1570"/>
      <c r="H935" s="1056"/>
      <c r="I935" s="1056"/>
      <c r="J935" s="1056"/>
      <c r="K935" s="1056"/>
      <c r="L935" s="1056"/>
      <c r="M935" s="1056"/>
      <c r="N935" s="1056"/>
      <c r="O935" s="1056"/>
      <c r="P935" s="1056"/>
      <c r="Q935" s="1056"/>
      <c r="R935" s="1056"/>
      <c r="S935" s="296"/>
      <c r="T935" s="294"/>
      <c r="U935" s="294"/>
      <c r="V935" s="294"/>
      <c r="W935" s="84"/>
      <c r="X935" s="85"/>
      <c r="Y935" s="295"/>
      <c r="Z935" s="1056"/>
      <c r="AA935" s="1056"/>
      <c r="AB935" s="1056"/>
      <c r="AC935" s="1056"/>
      <c r="AD935" s="1056"/>
      <c r="AE935" s="1056"/>
      <c r="AF935" s="1458"/>
      <c r="AG935" s="1448"/>
      <c r="AH935" s="1479"/>
      <c r="AI935" s="1055">
        <v>3500</v>
      </c>
      <c r="AJ935" s="1055" t="s">
        <v>507</v>
      </c>
      <c r="AK935" s="1443"/>
      <c r="AL935" s="51"/>
      <c r="AM935" s="1056"/>
      <c r="AN935" s="1056"/>
      <c r="AO935" s="1056"/>
      <c r="AP935" s="1056"/>
      <c r="AQ935" s="1056"/>
      <c r="AR935" s="1056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</row>
    <row r="936" spans="1:86" s="53" customFormat="1" ht="22.5" hidden="1" customHeight="1" x14ac:dyDescent="0.25">
      <c r="A936" s="1026"/>
      <c r="B936" s="1449"/>
      <c r="C936" s="1840"/>
      <c r="D936" s="1481"/>
      <c r="E936" s="1479"/>
      <c r="F936" s="1481"/>
      <c r="G936" s="1479"/>
      <c r="H936" s="1056"/>
      <c r="I936" s="1056"/>
      <c r="J936" s="1056"/>
      <c r="K936" s="1056"/>
      <c r="L936" s="1056"/>
      <c r="M936" s="1056"/>
      <c r="N936" s="1056"/>
      <c r="O936" s="1056"/>
      <c r="P936" s="1056"/>
      <c r="Q936" s="1056"/>
      <c r="R936" s="1056"/>
      <c r="S936" s="296"/>
      <c r="T936" s="294"/>
      <c r="U936" s="294"/>
      <c r="V936" s="294"/>
      <c r="W936" s="84"/>
      <c r="X936" s="85"/>
      <c r="Y936" s="295"/>
      <c r="Z936" s="1056"/>
      <c r="AA936" s="1056"/>
      <c r="AB936" s="1056"/>
      <c r="AC936" s="1056"/>
      <c r="AD936" s="1056"/>
      <c r="AE936" s="1056"/>
      <c r="AF936" s="1457"/>
      <c r="AG936" s="1449"/>
      <c r="AH936" s="1054" t="s">
        <v>35</v>
      </c>
      <c r="AI936" s="1055">
        <v>7</v>
      </c>
      <c r="AJ936" s="1055" t="s">
        <v>8</v>
      </c>
      <c r="AK936" s="1444"/>
      <c r="AL936" s="51"/>
      <c r="AM936" s="1056"/>
      <c r="AN936" s="1056"/>
      <c r="AO936" s="1056"/>
      <c r="AP936" s="1056"/>
      <c r="AQ936" s="1056"/>
      <c r="AR936" s="1056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</row>
    <row r="937" spans="1:86" s="53" customFormat="1" ht="22.5" hidden="1" customHeight="1" x14ac:dyDescent="0.2">
      <c r="A937" s="1026"/>
      <c r="B937" s="1447">
        <v>2246138</v>
      </c>
      <c r="C937" s="1343" t="s">
        <v>159</v>
      </c>
      <c r="D937" s="1480">
        <v>0.8</v>
      </c>
      <c r="E937" s="1456">
        <v>4000</v>
      </c>
      <c r="F937" s="1480">
        <v>0.4</v>
      </c>
      <c r="G937" s="1456">
        <v>2000</v>
      </c>
      <c r="H937" s="1056"/>
      <c r="I937" s="1056"/>
      <c r="J937" s="1056"/>
      <c r="K937" s="1056"/>
      <c r="L937" s="1056"/>
      <c r="M937" s="1056"/>
      <c r="N937" s="1056"/>
      <c r="O937" s="1056"/>
      <c r="P937" s="1056"/>
      <c r="Q937" s="1056"/>
      <c r="R937" s="1056"/>
      <c r="S937" s="296"/>
      <c r="T937" s="294"/>
      <c r="U937" s="294"/>
      <c r="V937" s="294"/>
      <c r="W937" s="84"/>
      <c r="X937" s="85"/>
      <c r="Y937" s="295"/>
      <c r="Z937" s="1056"/>
      <c r="AA937" s="1056"/>
      <c r="AB937" s="1056"/>
      <c r="AC937" s="1056"/>
      <c r="AD937" s="1056"/>
      <c r="AE937" s="1056"/>
      <c r="AF937" s="1456" t="s">
        <v>504</v>
      </c>
      <c r="AG937" s="1447" t="s">
        <v>548</v>
      </c>
      <c r="AH937" s="1456" t="s">
        <v>506</v>
      </c>
      <c r="AI937" s="242">
        <v>0.4</v>
      </c>
      <c r="AJ937" s="1055" t="s">
        <v>2</v>
      </c>
      <c r="AK937" s="1442">
        <v>1255</v>
      </c>
      <c r="AL937" s="295"/>
      <c r="AM937" s="1056"/>
      <c r="AN937" s="1056"/>
      <c r="AO937" s="1056"/>
      <c r="AP937" s="1056"/>
      <c r="AQ937" s="1056"/>
      <c r="AR937" s="1056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</row>
    <row r="938" spans="1:86" s="53" customFormat="1" ht="22.5" hidden="1" customHeight="1" x14ac:dyDescent="0.25">
      <c r="A938" s="1026"/>
      <c r="B938" s="1448"/>
      <c r="C938" s="1839"/>
      <c r="D938" s="1569"/>
      <c r="E938" s="1570"/>
      <c r="F938" s="1569"/>
      <c r="G938" s="1570"/>
      <c r="H938" s="1056"/>
      <c r="I938" s="1056"/>
      <c r="J938" s="1056"/>
      <c r="K938" s="1056"/>
      <c r="L938" s="1056"/>
      <c r="M938" s="1056"/>
      <c r="N938" s="1056"/>
      <c r="O938" s="1056"/>
      <c r="P938" s="1056"/>
      <c r="Q938" s="1056"/>
      <c r="R938" s="1056"/>
      <c r="S938" s="296"/>
      <c r="T938" s="294"/>
      <c r="U938" s="294"/>
      <c r="V938" s="294"/>
      <c r="W938" s="84"/>
      <c r="X938" s="85"/>
      <c r="Y938" s="295"/>
      <c r="Z938" s="1056"/>
      <c r="AA938" s="1056"/>
      <c r="AB938" s="1056"/>
      <c r="AC938" s="1056"/>
      <c r="AD938" s="1056"/>
      <c r="AE938" s="1056"/>
      <c r="AF938" s="1458"/>
      <c r="AG938" s="1448"/>
      <c r="AH938" s="1479"/>
      <c r="AI938" s="1055">
        <v>2000</v>
      </c>
      <c r="AJ938" s="1055" t="s">
        <v>507</v>
      </c>
      <c r="AK938" s="1443"/>
      <c r="AL938" s="51"/>
      <c r="AM938" s="1056"/>
      <c r="AN938" s="1056"/>
      <c r="AO938" s="1056"/>
      <c r="AP938" s="1056"/>
      <c r="AQ938" s="1056"/>
      <c r="AR938" s="1056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</row>
    <row r="939" spans="1:86" s="53" customFormat="1" ht="22.5" hidden="1" customHeight="1" x14ac:dyDescent="0.25">
      <c r="A939" s="1026"/>
      <c r="B939" s="1449"/>
      <c r="C939" s="1840"/>
      <c r="D939" s="1481"/>
      <c r="E939" s="1479"/>
      <c r="F939" s="1481"/>
      <c r="G939" s="1479"/>
      <c r="H939" s="1056"/>
      <c r="I939" s="1056"/>
      <c r="J939" s="1056"/>
      <c r="K939" s="1056"/>
      <c r="L939" s="1056"/>
      <c r="M939" s="1056"/>
      <c r="N939" s="1056"/>
      <c r="O939" s="1056"/>
      <c r="P939" s="1056"/>
      <c r="Q939" s="1056"/>
      <c r="R939" s="1056"/>
      <c r="S939" s="296"/>
      <c r="T939" s="294"/>
      <c r="U939" s="294"/>
      <c r="V939" s="294"/>
      <c r="W939" s="84"/>
      <c r="X939" s="85"/>
      <c r="Y939" s="295"/>
      <c r="Z939" s="1056"/>
      <c r="AA939" s="1056"/>
      <c r="AB939" s="1056"/>
      <c r="AC939" s="1056"/>
      <c r="AD939" s="1056"/>
      <c r="AE939" s="1056"/>
      <c r="AF939" s="1457"/>
      <c r="AG939" s="1449"/>
      <c r="AH939" s="1054" t="s">
        <v>35</v>
      </c>
      <c r="AI939" s="1055">
        <v>1</v>
      </c>
      <c r="AJ939" s="1055" t="s">
        <v>8</v>
      </c>
      <c r="AK939" s="1444"/>
      <c r="AL939" s="51"/>
      <c r="AM939" s="1056"/>
      <c r="AN939" s="1056"/>
      <c r="AO939" s="1056"/>
      <c r="AP939" s="1056"/>
      <c r="AQ939" s="1056"/>
      <c r="AR939" s="1056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</row>
    <row r="940" spans="1:86" s="53" customFormat="1" ht="22.5" hidden="1" customHeight="1" x14ac:dyDescent="0.2">
      <c r="A940" s="1026"/>
      <c r="B940" s="1447">
        <v>2240130</v>
      </c>
      <c r="C940" s="1343" t="s">
        <v>640</v>
      </c>
      <c r="D940" s="1480">
        <v>0.3</v>
      </c>
      <c r="E940" s="1456">
        <v>1500</v>
      </c>
      <c r="F940" s="1480">
        <v>0.3</v>
      </c>
      <c r="G940" s="1456">
        <v>1500</v>
      </c>
      <c r="H940" s="1056"/>
      <c r="I940" s="1056"/>
      <c r="J940" s="1056"/>
      <c r="K940" s="1056"/>
      <c r="L940" s="1056"/>
      <c r="M940" s="1056"/>
      <c r="N940" s="1056"/>
      <c r="O940" s="1056"/>
      <c r="P940" s="1056"/>
      <c r="Q940" s="1056"/>
      <c r="R940" s="1056"/>
      <c r="S940" s="296"/>
      <c r="T940" s="294"/>
      <c r="U940" s="294"/>
      <c r="V940" s="294"/>
      <c r="W940" s="84"/>
      <c r="X940" s="85"/>
      <c r="Y940" s="295"/>
      <c r="Z940" s="1056"/>
      <c r="AA940" s="1056"/>
      <c r="AB940" s="1056"/>
      <c r="AC940" s="1056"/>
      <c r="AD940" s="1056"/>
      <c r="AE940" s="1056"/>
      <c r="AF940" s="1456" t="s">
        <v>504</v>
      </c>
      <c r="AG940" s="1447" t="s">
        <v>549</v>
      </c>
      <c r="AH940" s="1456" t="s">
        <v>506</v>
      </c>
      <c r="AI940" s="242">
        <v>0.3</v>
      </c>
      <c r="AJ940" s="1055" t="s">
        <v>2</v>
      </c>
      <c r="AK940" s="1442">
        <f>AI940*3125</f>
        <v>937.5</v>
      </c>
      <c r="AL940" s="295"/>
      <c r="AM940" s="1056"/>
      <c r="AN940" s="1056"/>
      <c r="AO940" s="1056"/>
      <c r="AP940" s="1056"/>
      <c r="AQ940" s="1056"/>
      <c r="AR940" s="1056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</row>
    <row r="941" spans="1:86" s="53" customFormat="1" ht="22.5" hidden="1" customHeight="1" x14ac:dyDescent="0.25">
      <c r="A941" s="1026"/>
      <c r="B941" s="1448"/>
      <c r="C941" s="1839"/>
      <c r="D941" s="1569"/>
      <c r="E941" s="1570"/>
      <c r="F941" s="1569"/>
      <c r="G941" s="1570"/>
      <c r="H941" s="1056"/>
      <c r="I941" s="1056"/>
      <c r="J941" s="1056"/>
      <c r="K941" s="1056"/>
      <c r="L941" s="1056"/>
      <c r="M941" s="1056"/>
      <c r="N941" s="1056"/>
      <c r="O941" s="1056"/>
      <c r="P941" s="1056"/>
      <c r="Q941" s="1056"/>
      <c r="R941" s="1056"/>
      <c r="S941" s="296"/>
      <c r="T941" s="294"/>
      <c r="U941" s="294"/>
      <c r="V941" s="294"/>
      <c r="W941" s="84"/>
      <c r="X941" s="85"/>
      <c r="Y941" s="295"/>
      <c r="Z941" s="1056"/>
      <c r="AA941" s="1056"/>
      <c r="AB941" s="1056"/>
      <c r="AC941" s="1056"/>
      <c r="AD941" s="1056"/>
      <c r="AE941" s="1056"/>
      <c r="AF941" s="1458"/>
      <c r="AG941" s="1448"/>
      <c r="AH941" s="1479"/>
      <c r="AI941" s="1055">
        <v>1500</v>
      </c>
      <c r="AJ941" s="1055" t="s">
        <v>507</v>
      </c>
      <c r="AK941" s="1443"/>
      <c r="AL941" s="51"/>
      <c r="AM941" s="1056"/>
      <c r="AN941" s="1056"/>
      <c r="AO941" s="1056"/>
      <c r="AP941" s="1056"/>
      <c r="AQ941" s="1056"/>
      <c r="AR941" s="1056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</row>
    <row r="942" spans="1:86" s="53" customFormat="1" ht="22.5" hidden="1" customHeight="1" x14ac:dyDescent="0.25">
      <c r="A942" s="1026"/>
      <c r="B942" s="1449"/>
      <c r="C942" s="1840"/>
      <c r="D942" s="1481"/>
      <c r="E942" s="1479"/>
      <c r="F942" s="1481"/>
      <c r="G942" s="1479"/>
      <c r="H942" s="1056"/>
      <c r="I942" s="1056"/>
      <c r="J942" s="1056"/>
      <c r="K942" s="1056"/>
      <c r="L942" s="1056"/>
      <c r="M942" s="1056"/>
      <c r="N942" s="1056"/>
      <c r="O942" s="1056"/>
      <c r="P942" s="1056"/>
      <c r="Q942" s="1056"/>
      <c r="R942" s="1056"/>
      <c r="S942" s="296"/>
      <c r="T942" s="294"/>
      <c r="U942" s="294"/>
      <c r="V942" s="294"/>
      <c r="W942" s="84"/>
      <c r="X942" s="85"/>
      <c r="Y942" s="295"/>
      <c r="Z942" s="1056"/>
      <c r="AA942" s="1056"/>
      <c r="AB942" s="1056"/>
      <c r="AC942" s="1056"/>
      <c r="AD942" s="1056"/>
      <c r="AE942" s="1056"/>
      <c r="AF942" s="1457"/>
      <c r="AG942" s="1449"/>
      <c r="AH942" s="1054" t="s">
        <v>35</v>
      </c>
      <c r="AI942" s="1055">
        <v>1</v>
      </c>
      <c r="AJ942" s="1055" t="s">
        <v>8</v>
      </c>
      <c r="AK942" s="1444"/>
      <c r="AL942" s="51"/>
      <c r="AM942" s="1056"/>
      <c r="AN942" s="1056"/>
      <c r="AO942" s="1056"/>
      <c r="AP942" s="1056"/>
      <c r="AQ942" s="1056"/>
      <c r="AR942" s="1056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</row>
    <row r="943" spans="1:86" s="53" customFormat="1" ht="22.5" hidden="1" customHeight="1" x14ac:dyDescent="0.2">
      <c r="A943" s="1026"/>
      <c r="B943" s="1447">
        <v>2243152</v>
      </c>
      <c r="C943" s="1343" t="s">
        <v>641</v>
      </c>
      <c r="D943" s="90">
        <v>0.5</v>
      </c>
      <c r="E943" s="1054">
        <v>2500</v>
      </c>
      <c r="F943" s="90">
        <v>0.5</v>
      </c>
      <c r="G943" s="1054">
        <v>2500</v>
      </c>
      <c r="H943" s="1056"/>
      <c r="I943" s="1056"/>
      <c r="J943" s="1056"/>
      <c r="K943" s="1056"/>
      <c r="L943" s="1056"/>
      <c r="M943" s="1056"/>
      <c r="N943" s="1056"/>
      <c r="O943" s="1056"/>
      <c r="P943" s="1056"/>
      <c r="Q943" s="1056"/>
      <c r="R943" s="1056"/>
      <c r="S943" s="296"/>
      <c r="T943" s="294"/>
      <c r="U943" s="294"/>
      <c r="V943" s="294"/>
      <c r="W943" s="84"/>
      <c r="X943" s="85"/>
      <c r="Y943" s="295"/>
      <c r="Z943" s="1056"/>
      <c r="AA943" s="1056"/>
      <c r="AB943" s="1056"/>
      <c r="AC943" s="1056"/>
      <c r="AD943" s="1056"/>
      <c r="AE943" s="1056"/>
      <c r="AF943" s="1456" t="s">
        <v>504</v>
      </c>
      <c r="AG943" s="1447" t="s">
        <v>546</v>
      </c>
      <c r="AH943" s="1456" t="s">
        <v>506</v>
      </c>
      <c r="AI943" s="242">
        <v>0.5</v>
      </c>
      <c r="AJ943" s="1055" t="s">
        <v>2</v>
      </c>
      <c r="AK943" s="1442">
        <f>AI943*3125</f>
        <v>1562.5</v>
      </c>
      <c r="AL943" s="295"/>
      <c r="AM943" s="1056"/>
      <c r="AN943" s="1056"/>
      <c r="AO943" s="1056"/>
      <c r="AP943" s="1056"/>
      <c r="AQ943" s="1056"/>
      <c r="AR943" s="1056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</row>
    <row r="944" spans="1:86" s="53" customFormat="1" ht="22.5" hidden="1" customHeight="1" x14ac:dyDescent="0.25">
      <c r="A944" s="1026"/>
      <c r="B944" s="1448"/>
      <c r="C944" s="1839"/>
      <c r="D944" s="90"/>
      <c r="E944" s="1054"/>
      <c r="F944" s="90"/>
      <c r="G944" s="1054"/>
      <c r="H944" s="1056"/>
      <c r="I944" s="1056"/>
      <c r="J944" s="1056"/>
      <c r="K944" s="1056"/>
      <c r="L944" s="1056"/>
      <c r="M944" s="1056"/>
      <c r="N944" s="1056"/>
      <c r="O944" s="1056"/>
      <c r="P944" s="1056"/>
      <c r="Q944" s="1056"/>
      <c r="R944" s="1056"/>
      <c r="S944" s="296"/>
      <c r="T944" s="294"/>
      <c r="U944" s="294"/>
      <c r="V944" s="294"/>
      <c r="W944" s="84"/>
      <c r="X944" s="85"/>
      <c r="Y944" s="295"/>
      <c r="Z944" s="1056"/>
      <c r="AA944" s="1056"/>
      <c r="AB944" s="1056"/>
      <c r="AC944" s="1056"/>
      <c r="AD944" s="1056"/>
      <c r="AE944" s="1056"/>
      <c r="AF944" s="1458"/>
      <c r="AG944" s="1448"/>
      <c r="AH944" s="1479"/>
      <c r="AI944" s="1055">
        <v>2500</v>
      </c>
      <c r="AJ944" s="1055" t="s">
        <v>507</v>
      </c>
      <c r="AK944" s="1443"/>
      <c r="AL944" s="51"/>
      <c r="AM944" s="1056"/>
      <c r="AN944" s="1056"/>
      <c r="AO944" s="1056"/>
      <c r="AP944" s="1056"/>
      <c r="AQ944" s="1056"/>
      <c r="AR944" s="1056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</row>
    <row r="945" spans="1:86" s="53" customFormat="1" ht="22.5" hidden="1" customHeight="1" x14ac:dyDescent="0.25">
      <c r="A945" s="1026"/>
      <c r="B945" s="1449"/>
      <c r="C945" s="1840"/>
      <c r="D945" s="90"/>
      <c r="E945" s="1054"/>
      <c r="F945" s="90"/>
      <c r="G945" s="1054"/>
      <c r="H945" s="1056"/>
      <c r="I945" s="1056"/>
      <c r="J945" s="1056"/>
      <c r="K945" s="1056"/>
      <c r="L945" s="1056"/>
      <c r="M945" s="1056"/>
      <c r="N945" s="1056"/>
      <c r="O945" s="1056"/>
      <c r="P945" s="1056"/>
      <c r="Q945" s="1056"/>
      <c r="R945" s="1056"/>
      <c r="S945" s="296"/>
      <c r="T945" s="294"/>
      <c r="U945" s="294"/>
      <c r="V945" s="294"/>
      <c r="W945" s="84"/>
      <c r="X945" s="85"/>
      <c r="Y945" s="295"/>
      <c r="Z945" s="1056"/>
      <c r="AA945" s="1056"/>
      <c r="AB945" s="1056"/>
      <c r="AC945" s="1056"/>
      <c r="AD945" s="1056"/>
      <c r="AE945" s="1056"/>
      <c r="AF945" s="1457"/>
      <c r="AG945" s="1449"/>
      <c r="AH945" s="1054" t="s">
        <v>35</v>
      </c>
      <c r="AI945" s="1055">
        <v>1</v>
      </c>
      <c r="AJ945" s="1055" t="s">
        <v>8</v>
      </c>
      <c r="AK945" s="1444"/>
      <c r="AL945" s="51"/>
      <c r="AM945" s="1056"/>
      <c r="AN945" s="1056"/>
      <c r="AO945" s="1056"/>
      <c r="AP945" s="1056"/>
      <c r="AQ945" s="1056"/>
      <c r="AR945" s="1056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</row>
    <row r="946" spans="1:86" s="53" customFormat="1" ht="22.5" customHeight="1" x14ac:dyDescent="0.2">
      <c r="A946" s="1393">
        <v>16</v>
      </c>
      <c r="B946" s="1447">
        <v>2243000</v>
      </c>
      <c r="C946" s="1343" t="s">
        <v>642</v>
      </c>
      <c r="D946" s="1480">
        <v>0.4</v>
      </c>
      <c r="E946" s="1456">
        <v>2000</v>
      </c>
      <c r="F946" s="1480">
        <v>0.4</v>
      </c>
      <c r="G946" s="1456">
        <v>2000</v>
      </c>
      <c r="H946" s="1056"/>
      <c r="I946" s="1056"/>
      <c r="J946" s="1056"/>
      <c r="K946" s="1056"/>
      <c r="L946" s="1056"/>
      <c r="M946" s="1056"/>
      <c r="N946" s="1056"/>
      <c r="O946" s="1056"/>
      <c r="P946" s="1056"/>
      <c r="Q946" s="1056"/>
      <c r="R946" s="1056"/>
      <c r="S946" s="296"/>
      <c r="T946" s="294"/>
      <c r="U946" s="294"/>
      <c r="V946" s="294"/>
      <c r="W946" s="84"/>
      <c r="X946" s="85"/>
      <c r="Y946" s="295"/>
      <c r="Z946" s="1056"/>
      <c r="AA946" s="1056"/>
      <c r="AB946" s="1056"/>
      <c r="AC946" s="1056"/>
      <c r="AD946" s="1056"/>
      <c r="AE946" s="1056"/>
      <c r="AF946" s="244"/>
      <c r="AG946" s="243"/>
      <c r="AH946" s="244"/>
      <c r="AI946" s="242"/>
      <c r="AJ946" s="1055"/>
      <c r="AK946" s="687"/>
      <c r="AL946" s="2223" t="s">
        <v>504</v>
      </c>
      <c r="AM946" s="2224" t="s">
        <v>548</v>
      </c>
      <c r="AN946" s="2223" t="s">
        <v>506</v>
      </c>
      <c r="AO946" s="242">
        <v>0.4</v>
      </c>
      <c r="AP946" s="1055" t="s">
        <v>2</v>
      </c>
      <c r="AQ946" s="2225">
        <v>5000</v>
      </c>
      <c r="AR946" s="1056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</row>
    <row r="947" spans="1:86" s="53" customFormat="1" ht="22.5" customHeight="1" x14ac:dyDescent="0.2">
      <c r="A947" s="1394"/>
      <c r="B947" s="1448"/>
      <c r="C947" s="1839"/>
      <c r="D947" s="1481"/>
      <c r="E947" s="1479"/>
      <c r="F947" s="1481"/>
      <c r="G947" s="1479"/>
      <c r="H947" s="1056"/>
      <c r="I947" s="1056"/>
      <c r="J947" s="1056"/>
      <c r="K947" s="1056"/>
      <c r="L947" s="1056"/>
      <c r="M947" s="1056"/>
      <c r="N947" s="1056"/>
      <c r="O947" s="1056"/>
      <c r="P947" s="1056"/>
      <c r="Q947" s="1056"/>
      <c r="R947" s="1056"/>
      <c r="S947" s="296"/>
      <c r="T947" s="294"/>
      <c r="U947" s="294"/>
      <c r="V947" s="294"/>
      <c r="W947" s="84"/>
      <c r="X947" s="85"/>
      <c r="Y947" s="295"/>
      <c r="Z947" s="1056"/>
      <c r="AA947" s="1056"/>
      <c r="AB947" s="1056"/>
      <c r="AC947" s="1056"/>
      <c r="AD947" s="1056"/>
      <c r="AE947" s="1056"/>
      <c r="AF947" s="49"/>
      <c r="AG947" s="243"/>
      <c r="AH947" s="244"/>
      <c r="AI947" s="1055"/>
      <c r="AJ947" s="1055"/>
      <c r="AK947" s="687"/>
      <c r="AL947" s="2068"/>
      <c r="AM947" s="2224"/>
      <c r="AN947" s="2223"/>
      <c r="AO947" s="1055">
        <v>2000</v>
      </c>
      <c r="AP947" s="1055" t="s">
        <v>507</v>
      </c>
      <c r="AQ947" s="2225"/>
      <c r="AR947" s="1056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</row>
    <row r="948" spans="1:86" s="53" customFormat="1" ht="22.5" hidden="1" customHeight="1" x14ac:dyDescent="0.2">
      <c r="A948" s="1026"/>
      <c r="B948" s="1449"/>
      <c r="C948" s="1840"/>
      <c r="D948" s="90"/>
      <c r="E948" s="1054"/>
      <c r="F948" s="90"/>
      <c r="G948" s="1054"/>
      <c r="H948" s="1056"/>
      <c r="I948" s="1056"/>
      <c r="J948" s="1056"/>
      <c r="K948" s="1056"/>
      <c r="L948" s="1056"/>
      <c r="M948" s="1056"/>
      <c r="N948" s="1056"/>
      <c r="O948" s="1056"/>
      <c r="P948" s="1056"/>
      <c r="Q948" s="1056"/>
      <c r="R948" s="1056"/>
      <c r="S948" s="296"/>
      <c r="T948" s="294"/>
      <c r="U948" s="294"/>
      <c r="V948" s="294"/>
      <c r="W948" s="84"/>
      <c r="X948" s="85"/>
      <c r="Y948" s="295"/>
      <c r="Z948" s="1056"/>
      <c r="AA948" s="1056"/>
      <c r="AB948" s="1056"/>
      <c r="AC948" s="1056"/>
      <c r="AD948" s="1056"/>
      <c r="AE948" s="1056"/>
      <c r="AF948" s="49"/>
      <c r="AG948" s="243"/>
      <c r="AH948" s="1054"/>
      <c r="AI948" s="1055"/>
      <c r="AJ948" s="1055"/>
      <c r="AK948" s="687"/>
      <c r="AL948" s="2068"/>
      <c r="AM948" s="2224"/>
      <c r="AN948" s="1054" t="s">
        <v>35</v>
      </c>
      <c r="AO948" s="1055">
        <v>1</v>
      </c>
      <c r="AP948" s="1055" t="s">
        <v>8</v>
      </c>
      <c r="AQ948" s="2225"/>
      <c r="AR948" s="1056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</row>
    <row r="949" spans="1:86" s="53" customFormat="1" ht="22.5" customHeight="1" x14ac:dyDescent="0.2">
      <c r="A949" s="1393">
        <v>17</v>
      </c>
      <c r="B949" s="1447">
        <v>2246494</v>
      </c>
      <c r="C949" s="1343" t="s">
        <v>643</v>
      </c>
      <c r="D949" s="1480">
        <v>0.5</v>
      </c>
      <c r="E949" s="1456">
        <v>2500</v>
      </c>
      <c r="F949" s="1480">
        <v>0.5</v>
      </c>
      <c r="G949" s="1456">
        <v>2500</v>
      </c>
      <c r="H949" s="1056"/>
      <c r="I949" s="1056"/>
      <c r="J949" s="1056"/>
      <c r="K949" s="1056"/>
      <c r="L949" s="1056"/>
      <c r="M949" s="1056"/>
      <c r="N949" s="1056"/>
      <c r="O949" s="1056"/>
      <c r="P949" s="1056"/>
      <c r="Q949" s="1056"/>
      <c r="R949" s="1056"/>
      <c r="S949" s="296"/>
      <c r="T949" s="294"/>
      <c r="U949" s="294"/>
      <c r="V949" s="294"/>
      <c r="W949" s="84"/>
      <c r="X949" s="85"/>
      <c r="Y949" s="295"/>
      <c r="Z949" s="1456" t="s">
        <v>441</v>
      </c>
      <c r="AA949" s="1447" t="s">
        <v>402</v>
      </c>
      <c r="AB949" s="1456" t="s">
        <v>506</v>
      </c>
      <c r="AC949" s="242">
        <v>0.8</v>
      </c>
      <c r="AD949" s="1055" t="s">
        <v>2</v>
      </c>
      <c r="AE949" s="1442">
        <v>12074.281489999999</v>
      </c>
      <c r="AF949" s="244"/>
      <c r="AG949" s="243"/>
      <c r="AH949" s="244"/>
      <c r="AI949" s="242"/>
      <c r="AJ949" s="1055"/>
      <c r="AK949" s="687"/>
      <c r="AL949" s="246"/>
      <c r="AM949" s="85"/>
      <c r="AN949" s="85"/>
      <c r="AO949" s="1056"/>
      <c r="AP949" s="1056"/>
      <c r="AQ949" s="85"/>
      <c r="AR949" s="1056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</row>
    <row r="950" spans="1:86" s="53" customFormat="1" ht="22.5" customHeight="1" x14ac:dyDescent="0.25">
      <c r="A950" s="1394"/>
      <c r="B950" s="1448"/>
      <c r="C950" s="1839"/>
      <c r="D950" s="1481"/>
      <c r="E950" s="1479"/>
      <c r="F950" s="1481"/>
      <c r="G950" s="1479"/>
      <c r="H950" s="1056"/>
      <c r="I950" s="1056"/>
      <c r="J950" s="1056"/>
      <c r="K950" s="1056"/>
      <c r="L950" s="1056"/>
      <c r="M950" s="1056"/>
      <c r="N950" s="1056"/>
      <c r="O950" s="1056"/>
      <c r="P950" s="1056"/>
      <c r="Q950" s="1056"/>
      <c r="R950" s="1056"/>
      <c r="S950" s="296"/>
      <c r="T950" s="294"/>
      <c r="U950" s="294"/>
      <c r="V950" s="294"/>
      <c r="W950" s="84"/>
      <c r="X950" s="85"/>
      <c r="Y950" s="295"/>
      <c r="Z950" s="1458"/>
      <c r="AA950" s="1448"/>
      <c r="AB950" s="1479"/>
      <c r="AC950" s="1055">
        <v>2000</v>
      </c>
      <c r="AD950" s="1055" t="s">
        <v>507</v>
      </c>
      <c r="AE950" s="1443"/>
      <c r="AF950" s="49"/>
      <c r="AG950" s="243"/>
      <c r="AH950" s="244"/>
      <c r="AI950" s="1055"/>
      <c r="AJ950" s="1055"/>
      <c r="AK950" s="687"/>
      <c r="AL950" s="51"/>
      <c r="AM950" s="1056"/>
      <c r="AN950" s="1056"/>
      <c r="AO950" s="1056"/>
      <c r="AP950" s="1056"/>
      <c r="AQ950" s="1056"/>
      <c r="AR950" s="1056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</row>
    <row r="951" spans="1:86" s="53" customFormat="1" ht="22.5" hidden="1" customHeight="1" x14ac:dyDescent="0.25">
      <c r="A951" s="1026"/>
      <c r="B951" s="1449"/>
      <c r="C951" s="1840"/>
      <c r="D951" s="90"/>
      <c r="E951" s="1054"/>
      <c r="F951" s="90"/>
      <c r="G951" s="1054"/>
      <c r="H951" s="1056"/>
      <c r="I951" s="1056"/>
      <c r="J951" s="1056"/>
      <c r="K951" s="1056"/>
      <c r="L951" s="1056"/>
      <c r="M951" s="1056"/>
      <c r="N951" s="1056"/>
      <c r="O951" s="1056"/>
      <c r="P951" s="1056"/>
      <c r="Q951" s="1056"/>
      <c r="R951" s="1056"/>
      <c r="S951" s="296"/>
      <c r="T951" s="294"/>
      <c r="U951" s="294"/>
      <c r="V951" s="294"/>
      <c r="W951" s="84"/>
      <c r="X951" s="85"/>
      <c r="Y951" s="295"/>
      <c r="Z951" s="1457"/>
      <c r="AA951" s="1449"/>
      <c r="AB951" s="1054" t="s">
        <v>35</v>
      </c>
      <c r="AC951" s="1055">
        <v>4</v>
      </c>
      <c r="AD951" s="1055" t="s">
        <v>8</v>
      </c>
      <c r="AE951" s="1444"/>
      <c r="AF951" s="49"/>
      <c r="AG951" s="243"/>
      <c r="AH951" s="1054"/>
      <c r="AI951" s="1055"/>
      <c r="AJ951" s="1055"/>
      <c r="AK951" s="687"/>
      <c r="AL951" s="51"/>
      <c r="AM951" s="1056"/>
      <c r="AN951" s="1056"/>
      <c r="AO951" s="1056"/>
      <c r="AP951" s="1056"/>
      <c r="AQ951" s="1056"/>
      <c r="AR951" s="1056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</row>
    <row r="952" spans="1:86" s="53" customFormat="1" ht="22.5" customHeight="1" x14ac:dyDescent="0.2">
      <c r="A952" s="1393">
        <v>18</v>
      </c>
      <c r="B952" s="1447">
        <v>2245257</v>
      </c>
      <c r="C952" s="1343" t="s">
        <v>644</v>
      </c>
      <c r="D952" s="1480">
        <v>0.4</v>
      </c>
      <c r="E952" s="1456">
        <v>2000</v>
      </c>
      <c r="F952" s="1480">
        <v>0.4</v>
      </c>
      <c r="G952" s="1456">
        <v>2000</v>
      </c>
      <c r="H952" s="1056"/>
      <c r="I952" s="1056"/>
      <c r="J952" s="1056"/>
      <c r="K952" s="1056"/>
      <c r="L952" s="1056"/>
      <c r="M952" s="1056"/>
      <c r="N952" s="1056"/>
      <c r="O952" s="1056"/>
      <c r="P952" s="1056"/>
      <c r="Q952" s="1056"/>
      <c r="R952" s="1056"/>
      <c r="S952" s="296"/>
      <c r="T952" s="294"/>
      <c r="U952" s="294"/>
      <c r="V952" s="294"/>
      <c r="W952" s="84"/>
      <c r="X952" s="85"/>
      <c r="Y952" s="295"/>
      <c r="Z952" s="2223" t="s">
        <v>441</v>
      </c>
      <c r="AA952" s="2224" t="s">
        <v>1553</v>
      </c>
      <c r="AB952" s="2223" t="s">
        <v>506</v>
      </c>
      <c r="AC952" s="242">
        <v>0.33</v>
      </c>
      <c r="AD952" s="1055" t="s">
        <v>2</v>
      </c>
      <c r="AE952" s="2225">
        <v>3534.01478</v>
      </c>
      <c r="AF952" s="244"/>
      <c r="AG952" s="243"/>
      <c r="AH952" s="244"/>
      <c r="AI952" s="242"/>
      <c r="AJ952" s="1055"/>
      <c r="AK952" s="687"/>
      <c r="AL952" s="295"/>
      <c r="AM952" s="1056"/>
      <c r="AN952" s="1056"/>
      <c r="AO952" s="1056"/>
      <c r="AP952" s="1056"/>
      <c r="AQ952" s="1056"/>
      <c r="AR952" s="1056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</row>
    <row r="953" spans="1:86" s="53" customFormat="1" ht="22.5" customHeight="1" x14ac:dyDescent="0.25">
      <c r="A953" s="1394"/>
      <c r="B953" s="1448"/>
      <c r="C953" s="1839"/>
      <c r="D953" s="1481"/>
      <c r="E953" s="1479"/>
      <c r="F953" s="1481"/>
      <c r="G953" s="1479"/>
      <c r="H953" s="1056"/>
      <c r="I953" s="1056"/>
      <c r="J953" s="1056"/>
      <c r="K953" s="1056"/>
      <c r="L953" s="1056"/>
      <c r="M953" s="1056"/>
      <c r="N953" s="1056"/>
      <c r="O953" s="1056"/>
      <c r="P953" s="1056"/>
      <c r="Q953" s="1056"/>
      <c r="R953" s="1056"/>
      <c r="S953" s="296"/>
      <c r="T953" s="294"/>
      <c r="U953" s="294"/>
      <c r="V953" s="294"/>
      <c r="W953" s="84"/>
      <c r="X953" s="85"/>
      <c r="Y953" s="295"/>
      <c r="Z953" s="2068"/>
      <c r="AA953" s="2224"/>
      <c r="AB953" s="2223"/>
      <c r="AC953" s="1055">
        <v>2000</v>
      </c>
      <c r="AD953" s="1055" t="s">
        <v>507</v>
      </c>
      <c r="AE953" s="2225"/>
      <c r="AF953" s="49"/>
      <c r="AG953" s="243"/>
      <c r="AH953" s="244"/>
      <c r="AI953" s="1055"/>
      <c r="AJ953" s="1055"/>
      <c r="AK953" s="687"/>
      <c r="AL953" s="51"/>
      <c r="AM953" s="1056"/>
      <c r="AN953" s="1056"/>
      <c r="AO953" s="1056"/>
      <c r="AP953" s="1056"/>
      <c r="AQ953" s="1056"/>
      <c r="AR953" s="1056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</row>
    <row r="954" spans="1:86" s="53" customFormat="1" ht="22.5" hidden="1" customHeight="1" x14ac:dyDescent="0.25">
      <c r="A954" s="1026"/>
      <c r="B954" s="1449"/>
      <c r="C954" s="1840"/>
      <c r="D954" s="90"/>
      <c r="E954" s="1054"/>
      <c r="F954" s="90"/>
      <c r="G954" s="1054"/>
      <c r="H954" s="1056"/>
      <c r="I954" s="1056"/>
      <c r="J954" s="1056"/>
      <c r="K954" s="1056"/>
      <c r="L954" s="1056"/>
      <c r="M954" s="1056"/>
      <c r="N954" s="1056"/>
      <c r="O954" s="1056"/>
      <c r="P954" s="1056"/>
      <c r="Q954" s="1056"/>
      <c r="R954" s="1056"/>
      <c r="S954" s="296"/>
      <c r="T954" s="294"/>
      <c r="U954" s="294"/>
      <c r="V954" s="294"/>
      <c r="W954" s="84"/>
      <c r="X954" s="85"/>
      <c r="Y954" s="295"/>
      <c r="Z954" s="2068"/>
      <c r="AA954" s="2224"/>
      <c r="AB954" s="1054" t="s">
        <v>35</v>
      </c>
      <c r="AC954" s="1055">
        <v>4</v>
      </c>
      <c r="AD954" s="1055" t="s">
        <v>8</v>
      </c>
      <c r="AE954" s="2225"/>
      <c r="AF954" s="49"/>
      <c r="AG954" s="243"/>
      <c r="AH954" s="1054"/>
      <c r="AI954" s="1055"/>
      <c r="AJ954" s="1055"/>
      <c r="AK954" s="687"/>
      <c r="AL954" s="51"/>
      <c r="AM954" s="1056"/>
      <c r="AN954" s="1056"/>
      <c r="AO954" s="1056"/>
      <c r="AP954" s="1056"/>
      <c r="AQ954" s="1056"/>
      <c r="AR954" s="1056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</row>
    <row r="955" spans="1:86" s="53" customFormat="1" ht="22.5" hidden="1" customHeight="1" x14ac:dyDescent="0.2">
      <c r="A955" s="1026"/>
      <c r="B955" s="1447">
        <v>2246922</v>
      </c>
      <c r="C955" s="1343" t="s">
        <v>645</v>
      </c>
      <c r="D955" s="90">
        <v>0.5</v>
      </c>
      <c r="E955" s="1054">
        <v>2500</v>
      </c>
      <c r="F955" s="90">
        <v>0.5</v>
      </c>
      <c r="G955" s="1054">
        <v>2500</v>
      </c>
      <c r="H955" s="1056"/>
      <c r="I955" s="1056"/>
      <c r="J955" s="1056"/>
      <c r="K955" s="1056"/>
      <c r="L955" s="1056"/>
      <c r="M955" s="1056"/>
      <c r="N955" s="1056"/>
      <c r="O955" s="1056"/>
      <c r="P955" s="1056"/>
      <c r="Q955" s="1056"/>
      <c r="R955" s="1056"/>
      <c r="S955" s="296"/>
      <c r="T955" s="294"/>
      <c r="U955" s="294"/>
      <c r="V955" s="294"/>
      <c r="W955" s="84"/>
      <c r="X955" s="85"/>
      <c r="Y955" s="295"/>
      <c r="Z955" s="1056"/>
      <c r="AA955" s="1056"/>
      <c r="AB955" s="1056"/>
      <c r="AC955" s="1056"/>
      <c r="AD955" s="1056"/>
      <c r="AE955" s="1056"/>
      <c r="AF955" s="1456" t="s">
        <v>504</v>
      </c>
      <c r="AG955" s="1447" t="s">
        <v>546</v>
      </c>
      <c r="AH955" s="1456" t="s">
        <v>506</v>
      </c>
      <c r="AI955" s="242">
        <v>0.5</v>
      </c>
      <c r="AJ955" s="1055" t="s">
        <v>2</v>
      </c>
      <c r="AK955" s="1442">
        <v>1595</v>
      </c>
      <c r="AL955" s="295"/>
      <c r="AM955" s="1056"/>
      <c r="AN955" s="1056"/>
      <c r="AO955" s="1056"/>
      <c r="AP955" s="1056"/>
      <c r="AQ955" s="1056"/>
      <c r="AR955" s="1056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</row>
    <row r="956" spans="1:86" s="53" customFormat="1" ht="22.5" hidden="1" customHeight="1" x14ac:dyDescent="0.25">
      <c r="A956" s="1026"/>
      <c r="B956" s="1448"/>
      <c r="C956" s="1839"/>
      <c r="D956" s="90"/>
      <c r="E956" s="1054"/>
      <c r="F956" s="90"/>
      <c r="G956" s="1054"/>
      <c r="H956" s="1056"/>
      <c r="I956" s="1056"/>
      <c r="J956" s="1056"/>
      <c r="K956" s="1056"/>
      <c r="L956" s="1056"/>
      <c r="M956" s="1056"/>
      <c r="N956" s="1056"/>
      <c r="O956" s="1056"/>
      <c r="P956" s="1056"/>
      <c r="Q956" s="1056"/>
      <c r="R956" s="1056"/>
      <c r="S956" s="296"/>
      <c r="T956" s="294"/>
      <c r="U956" s="294"/>
      <c r="V956" s="294"/>
      <c r="W956" s="84"/>
      <c r="X956" s="85"/>
      <c r="Y956" s="295"/>
      <c r="Z956" s="1056"/>
      <c r="AA956" s="1056"/>
      <c r="AB956" s="1056"/>
      <c r="AC956" s="1056"/>
      <c r="AD956" s="1056"/>
      <c r="AE956" s="1056"/>
      <c r="AF956" s="1458"/>
      <c r="AG956" s="1448"/>
      <c r="AH956" s="1479"/>
      <c r="AI956" s="1055">
        <v>2500</v>
      </c>
      <c r="AJ956" s="1055" t="s">
        <v>507</v>
      </c>
      <c r="AK956" s="1443"/>
      <c r="AL956" s="51"/>
      <c r="AM956" s="1056"/>
      <c r="AN956" s="1056"/>
      <c r="AO956" s="1056"/>
      <c r="AP956" s="1056"/>
      <c r="AQ956" s="1056"/>
      <c r="AR956" s="1056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</row>
    <row r="957" spans="1:86" s="53" customFormat="1" ht="22.5" hidden="1" customHeight="1" x14ac:dyDescent="0.25">
      <c r="A957" s="1026"/>
      <c r="B957" s="1449"/>
      <c r="C957" s="1840"/>
      <c r="D957" s="90"/>
      <c r="E957" s="1054"/>
      <c r="F957" s="90"/>
      <c r="G957" s="1054"/>
      <c r="H957" s="1056"/>
      <c r="I957" s="1056"/>
      <c r="J957" s="1056"/>
      <c r="K957" s="1056"/>
      <c r="L957" s="1056"/>
      <c r="M957" s="1056"/>
      <c r="N957" s="1056"/>
      <c r="O957" s="1056"/>
      <c r="P957" s="1056"/>
      <c r="Q957" s="1056"/>
      <c r="R957" s="1056"/>
      <c r="S957" s="296"/>
      <c r="T957" s="294"/>
      <c r="U957" s="294"/>
      <c r="V957" s="294"/>
      <c r="W957" s="84"/>
      <c r="X957" s="85"/>
      <c r="Y957" s="295"/>
      <c r="Z957" s="1056"/>
      <c r="AA957" s="1056"/>
      <c r="AB957" s="1056"/>
      <c r="AC957" s="1056"/>
      <c r="AD957" s="1056"/>
      <c r="AE957" s="1056"/>
      <c r="AF957" s="1457"/>
      <c r="AG957" s="1449"/>
      <c r="AH957" s="1054" t="s">
        <v>35</v>
      </c>
      <c r="AI957" s="1055">
        <v>3</v>
      </c>
      <c r="AJ957" s="1055" t="s">
        <v>8</v>
      </c>
      <c r="AK957" s="1444"/>
      <c r="AL957" s="51"/>
      <c r="AM957" s="1056"/>
      <c r="AN957" s="1056"/>
      <c r="AO957" s="1056"/>
      <c r="AP957" s="1056"/>
      <c r="AQ957" s="1056"/>
      <c r="AR957" s="1056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</row>
    <row r="958" spans="1:86" s="53" customFormat="1" ht="22.5" hidden="1" customHeight="1" x14ac:dyDescent="0.2">
      <c r="A958" s="1026"/>
      <c r="B958" s="1447">
        <v>3405532</v>
      </c>
      <c r="C958" s="1343" t="s">
        <v>646</v>
      </c>
      <c r="D958" s="90">
        <v>0.3</v>
      </c>
      <c r="E958" s="1054">
        <v>1200</v>
      </c>
      <c r="F958" s="90">
        <v>0.3</v>
      </c>
      <c r="G958" s="1054">
        <v>1200</v>
      </c>
      <c r="H958" s="1056"/>
      <c r="I958" s="1056"/>
      <c r="J958" s="1056"/>
      <c r="K958" s="1056"/>
      <c r="L958" s="1056"/>
      <c r="M958" s="1056"/>
      <c r="N958" s="1056"/>
      <c r="O958" s="1056"/>
      <c r="P958" s="1056"/>
      <c r="Q958" s="1056"/>
      <c r="R958" s="1056"/>
      <c r="S958" s="296"/>
      <c r="T958" s="294"/>
      <c r="U958" s="294"/>
      <c r="V958" s="294"/>
      <c r="W958" s="84"/>
      <c r="X958" s="85"/>
      <c r="Y958" s="295"/>
      <c r="Z958" s="1056"/>
      <c r="AA958" s="1056"/>
      <c r="AB958" s="1056"/>
      <c r="AC958" s="1056"/>
      <c r="AD958" s="1056"/>
      <c r="AE958" s="1056"/>
      <c r="AF958" s="1456" t="s">
        <v>504</v>
      </c>
      <c r="AG958" s="1447" t="s">
        <v>549</v>
      </c>
      <c r="AH958" s="1456" t="s">
        <v>506</v>
      </c>
      <c r="AI958" s="242">
        <v>0.3</v>
      </c>
      <c r="AJ958" s="1055" t="s">
        <v>2</v>
      </c>
      <c r="AK958" s="1442">
        <v>975</v>
      </c>
      <c r="AL958" s="295"/>
      <c r="AM958" s="1056"/>
      <c r="AN958" s="1056"/>
      <c r="AO958" s="1056"/>
      <c r="AP958" s="1056"/>
      <c r="AQ958" s="1056"/>
      <c r="AR958" s="1056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</row>
    <row r="959" spans="1:86" s="53" customFormat="1" ht="22.5" hidden="1" customHeight="1" x14ac:dyDescent="0.25">
      <c r="A959" s="1026"/>
      <c r="B959" s="1448"/>
      <c r="C959" s="1839"/>
      <c r="D959" s="90"/>
      <c r="E959" s="1054"/>
      <c r="F959" s="90"/>
      <c r="G959" s="1054"/>
      <c r="H959" s="1056"/>
      <c r="I959" s="1056"/>
      <c r="J959" s="1056"/>
      <c r="K959" s="1056"/>
      <c r="L959" s="1056"/>
      <c r="M959" s="1056"/>
      <c r="N959" s="1056"/>
      <c r="O959" s="1056"/>
      <c r="P959" s="1056"/>
      <c r="Q959" s="1056"/>
      <c r="R959" s="1056"/>
      <c r="S959" s="296"/>
      <c r="T959" s="294"/>
      <c r="U959" s="294"/>
      <c r="V959" s="294"/>
      <c r="W959" s="84"/>
      <c r="X959" s="85"/>
      <c r="Y959" s="295"/>
      <c r="Z959" s="1056"/>
      <c r="AA959" s="1056"/>
      <c r="AB959" s="1056"/>
      <c r="AC959" s="1056"/>
      <c r="AD959" s="1056"/>
      <c r="AE959" s="1056"/>
      <c r="AF959" s="1458"/>
      <c r="AG959" s="1448"/>
      <c r="AH959" s="1479"/>
      <c r="AI959" s="1055">
        <v>1200</v>
      </c>
      <c r="AJ959" s="1055" t="s">
        <v>507</v>
      </c>
      <c r="AK959" s="1443"/>
      <c r="AL959" s="51"/>
      <c r="AM959" s="1056"/>
      <c r="AN959" s="1056"/>
      <c r="AO959" s="1056"/>
      <c r="AP959" s="1056"/>
      <c r="AQ959" s="1056"/>
      <c r="AR959" s="1056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</row>
    <row r="960" spans="1:86" s="53" customFormat="1" ht="22.5" hidden="1" customHeight="1" x14ac:dyDescent="0.25">
      <c r="A960" s="1026"/>
      <c r="B960" s="1449"/>
      <c r="C960" s="1840"/>
      <c r="D960" s="90"/>
      <c r="E960" s="1054"/>
      <c r="F960" s="90"/>
      <c r="G960" s="1054"/>
      <c r="H960" s="1056"/>
      <c r="I960" s="1056"/>
      <c r="J960" s="1056"/>
      <c r="K960" s="1056"/>
      <c r="L960" s="1056"/>
      <c r="M960" s="1056"/>
      <c r="N960" s="1056"/>
      <c r="O960" s="1056"/>
      <c r="P960" s="1056"/>
      <c r="Q960" s="1056"/>
      <c r="R960" s="1056"/>
      <c r="S960" s="296"/>
      <c r="T960" s="294"/>
      <c r="U960" s="294"/>
      <c r="V960" s="294"/>
      <c r="W960" s="84"/>
      <c r="X960" s="85"/>
      <c r="Y960" s="295"/>
      <c r="Z960" s="1056"/>
      <c r="AA960" s="1056"/>
      <c r="AB960" s="1056"/>
      <c r="AC960" s="1056"/>
      <c r="AD960" s="1056"/>
      <c r="AE960" s="1056"/>
      <c r="AF960" s="1457"/>
      <c r="AG960" s="1449"/>
      <c r="AH960" s="1054" t="s">
        <v>35</v>
      </c>
      <c r="AI960" s="1055">
        <v>3</v>
      </c>
      <c r="AJ960" s="1055" t="s">
        <v>8</v>
      </c>
      <c r="AK960" s="1444"/>
      <c r="AL960" s="51"/>
      <c r="AM960" s="1056"/>
      <c r="AN960" s="1056"/>
      <c r="AO960" s="1056"/>
      <c r="AP960" s="1056"/>
      <c r="AQ960" s="1056"/>
      <c r="AR960" s="1056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</row>
    <row r="961" spans="1:86" s="53" customFormat="1" ht="22.5" hidden="1" customHeight="1" x14ac:dyDescent="0.2">
      <c r="A961" s="1026"/>
      <c r="B961" s="1447">
        <v>2244096</v>
      </c>
      <c r="C961" s="1343" t="s">
        <v>160</v>
      </c>
      <c r="D961" s="90">
        <v>0.6</v>
      </c>
      <c r="E961" s="1054">
        <v>2400</v>
      </c>
      <c r="F961" s="90">
        <v>0.6</v>
      </c>
      <c r="G961" s="1054">
        <v>2400</v>
      </c>
      <c r="H961" s="1056"/>
      <c r="I961" s="1056"/>
      <c r="J961" s="1056"/>
      <c r="K961" s="1056"/>
      <c r="L961" s="1056"/>
      <c r="M961" s="1056"/>
      <c r="N961" s="1056"/>
      <c r="O961" s="1056"/>
      <c r="P961" s="1056"/>
      <c r="Q961" s="1056"/>
      <c r="R961" s="1056"/>
      <c r="S961" s="296"/>
      <c r="T961" s="294"/>
      <c r="U961" s="294"/>
      <c r="V961" s="294"/>
      <c r="W961" s="84"/>
      <c r="X961" s="85"/>
      <c r="Y961" s="295"/>
      <c r="Z961" s="1056"/>
      <c r="AA961" s="1056"/>
      <c r="AB961" s="1056"/>
      <c r="AC961" s="1056"/>
      <c r="AD961" s="1056"/>
      <c r="AE961" s="1056"/>
      <c r="AF961" s="1456" t="s">
        <v>504</v>
      </c>
      <c r="AG961" s="1447" t="s">
        <v>547</v>
      </c>
      <c r="AH961" s="1456" t="s">
        <v>506</v>
      </c>
      <c r="AI961" s="242">
        <v>0.6</v>
      </c>
      <c r="AJ961" s="1055" t="s">
        <v>2</v>
      </c>
      <c r="AK961" s="1442">
        <v>1935</v>
      </c>
      <c r="AL961" s="295"/>
      <c r="AM961" s="1056"/>
      <c r="AN961" s="1056"/>
      <c r="AO961" s="1056"/>
      <c r="AP961" s="1056"/>
      <c r="AQ961" s="1056"/>
      <c r="AR961" s="1056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</row>
    <row r="962" spans="1:86" s="53" customFormat="1" ht="22.5" hidden="1" customHeight="1" x14ac:dyDescent="0.2">
      <c r="A962" s="1026"/>
      <c r="B962" s="1448"/>
      <c r="C962" s="1839"/>
      <c r="D962" s="90"/>
      <c r="E962" s="1054"/>
      <c r="F962" s="90"/>
      <c r="G962" s="1054"/>
      <c r="H962" s="1056"/>
      <c r="I962" s="1056"/>
      <c r="J962" s="1056"/>
      <c r="K962" s="1056"/>
      <c r="L962" s="1056"/>
      <c r="M962" s="1056"/>
      <c r="N962" s="1056"/>
      <c r="O962" s="1056"/>
      <c r="P962" s="1056"/>
      <c r="Q962" s="1056"/>
      <c r="R962" s="1056"/>
      <c r="S962" s="296"/>
      <c r="T962" s="294"/>
      <c r="U962" s="294"/>
      <c r="V962" s="294"/>
      <c r="W962" s="84"/>
      <c r="X962" s="85"/>
      <c r="Y962" s="295"/>
      <c r="Z962" s="1056"/>
      <c r="AA962" s="1056"/>
      <c r="AB962" s="1056"/>
      <c r="AC962" s="1056"/>
      <c r="AD962" s="1056"/>
      <c r="AE962" s="1056"/>
      <c r="AF962" s="1458"/>
      <c r="AG962" s="1448"/>
      <c r="AH962" s="1479"/>
      <c r="AI962" s="1055">
        <v>2400</v>
      </c>
      <c r="AJ962" s="1055" t="s">
        <v>507</v>
      </c>
      <c r="AK962" s="1443"/>
      <c r="AL962" s="1055"/>
      <c r="AM962" s="1056"/>
      <c r="AN962" s="1056"/>
      <c r="AO962" s="1056"/>
      <c r="AP962" s="1056"/>
      <c r="AQ962" s="1056"/>
      <c r="AR962" s="1056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</row>
    <row r="963" spans="1:86" s="53" customFormat="1" ht="22.5" hidden="1" customHeight="1" x14ac:dyDescent="0.2">
      <c r="A963" s="1026"/>
      <c r="B963" s="1449"/>
      <c r="C963" s="1840"/>
      <c r="D963" s="90"/>
      <c r="E963" s="1054"/>
      <c r="F963" s="90"/>
      <c r="G963" s="1054"/>
      <c r="H963" s="1056"/>
      <c r="I963" s="1056"/>
      <c r="J963" s="1056"/>
      <c r="K963" s="1056"/>
      <c r="L963" s="1056"/>
      <c r="M963" s="1056"/>
      <c r="N963" s="1056"/>
      <c r="O963" s="1056"/>
      <c r="P963" s="1056"/>
      <c r="Q963" s="1056"/>
      <c r="R963" s="1056"/>
      <c r="S963" s="296"/>
      <c r="T963" s="294"/>
      <c r="U963" s="294"/>
      <c r="V963" s="294"/>
      <c r="W963" s="84"/>
      <c r="X963" s="85"/>
      <c r="Y963" s="295"/>
      <c r="Z963" s="1056"/>
      <c r="AA963" s="1056"/>
      <c r="AB963" s="1056"/>
      <c r="AC963" s="1056"/>
      <c r="AD963" s="1056"/>
      <c r="AE963" s="1056"/>
      <c r="AF963" s="1457"/>
      <c r="AG963" s="1449"/>
      <c r="AH963" s="1041" t="s">
        <v>35</v>
      </c>
      <c r="AI963" s="1055">
        <v>5</v>
      </c>
      <c r="AJ963" s="1055" t="s">
        <v>8</v>
      </c>
      <c r="AK963" s="1444"/>
      <c r="AL963" s="1055"/>
      <c r="AM963" s="1056"/>
      <c r="AN963" s="1056"/>
      <c r="AO963" s="1056"/>
      <c r="AP963" s="1056"/>
      <c r="AQ963" s="1056"/>
      <c r="AR963" s="1056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</row>
    <row r="964" spans="1:86" s="53" customFormat="1" ht="22.5" customHeight="1" x14ac:dyDescent="0.2">
      <c r="A964" s="1393">
        <v>19</v>
      </c>
      <c r="B964" s="1447">
        <v>2238205</v>
      </c>
      <c r="C964" s="1343" t="s">
        <v>647</v>
      </c>
      <c r="D964" s="1480">
        <v>0.4</v>
      </c>
      <c r="E964" s="1456">
        <v>2000</v>
      </c>
      <c r="F964" s="1480">
        <v>0.4</v>
      </c>
      <c r="G964" s="1456">
        <v>2000</v>
      </c>
      <c r="H964" s="1056"/>
      <c r="I964" s="1056"/>
      <c r="J964" s="1056"/>
      <c r="K964" s="1056"/>
      <c r="L964" s="1056"/>
      <c r="M964" s="1056"/>
      <c r="N964" s="1056"/>
      <c r="O964" s="1056"/>
      <c r="P964" s="1056"/>
      <c r="Q964" s="1056"/>
      <c r="R964" s="1056"/>
      <c r="S964" s="296"/>
      <c r="T964" s="1456" t="s">
        <v>504</v>
      </c>
      <c r="U964" s="1447" t="s">
        <v>548</v>
      </c>
      <c r="V964" s="1456" t="s">
        <v>506</v>
      </c>
      <c r="W964" s="242">
        <v>0.66</v>
      </c>
      <c r="X964" s="1055" t="s">
        <v>652</v>
      </c>
      <c r="Y964" s="2225">
        <v>6847.0256399999998</v>
      </c>
      <c r="Z964" s="85"/>
      <c r="AA964" s="85"/>
      <c r="AB964" s="85"/>
      <c r="AC964" s="85"/>
      <c r="AD964" s="85"/>
      <c r="AE964" s="85"/>
      <c r="AF964" s="244"/>
      <c r="AG964" s="243"/>
      <c r="AH964" s="244"/>
      <c r="AI964" s="242"/>
      <c r="AJ964" s="1055"/>
      <c r="AK964" s="687"/>
      <c r="AL964" s="295"/>
      <c r="AM964" s="1056"/>
      <c r="AN964" s="1056"/>
      <c r="AO964" s="1056"/>
      <c r="AP964" s="1056"/>
      <c r="AQ964" s="1056"/>
      <c r="AR964" s="1056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</row>
    <row r="965" spans="1:86" s="53" customFormat="1" ht="22.5" customHeight="1" x14ac:dyDescent="0.2">
      <c r="A965" s="1394"/>
      <c r="B965" s="1448"/>
      <c r="C965" s="1839"/>
      <c r="D965" s="1481"/>
      <c r="E965" s="1479"/>
      <c r="F965" s="1481"/>
      <c r="G965" s="1479"/>
      <c r="H965" s="1056"/>
      <c r="I965" s="1056"/>
      <c r="J965" s="1056"/>
      <c r="K965" s="1056"/>
      <c r="L965" s="1056"/>
      <c r="M965" s="1056"/>
      <c r="N965" s="1056"/>
      <c r="O965" s="1056"/>
      <c r="P965" s="1056"/>
      <c r="Q965" s="1056"/>
      <c r="R965" s="1056"/>
      <c r="S965" s="296"/>
      <c r="T965" s="1458"/>
      <c r="U965" s="1448"/>
      <c r="V965" s="1479"/>
      <c r="W965" s="1055">
        <v>4185</v>
      </c>
      <c r="X965" s="1055" t="s">
        <v>507</v>
      </c>
      <c r="Y965" s="2225"/>
      <c r="Z965" s="1056"/>
      <c r="AA965" s="1056"/>
      <c r="AB965" s="1056"/>
      <c r="AC965" s="1056"/>
      <c r="AD965" s="1056"/>
      <c r="AE965" s="1056"/>
      <c r="AF965" s="49"/>
      <c r="AG965" s="243"/>
      <c r="AH965" s="244"/>
      <c r="AI965" s="1055"/>
      <c r="AJ965" s="1055"/>
      <c r="AK965" s="687"/>
      <c r="AL965" s="1055"/>
      <c r="AM965" s="1056"/>
      <c r="AN965" s="1056"/>
      <c r="AO965" s="1056"/>
      <c r="AP965" s="1056"/>
      <c r="AQ965" s="1056"/>
      <c r="AR965" s="1056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</row>
    <row r="966" spans="1:86" s="53" customFormat="1" ht="22.5" hidden="1" customHeight="1" x14ac:dyDescent="0.2">
      <c r="A966" s="1026"/>
      <c r="B966" s="1447">
        <v>2244625</v>
      </c>
      <c r="C966" s="1343" t="s">
        <v>648</v>
      </c>
      <c r="D966" s="90">
        <v>1</v>
      </c>
      <c r="E966" s="1054">
        <v>5000</v>
      </c>
      <c r="F966" s="90">
        <v>1</v>
      </c>
      <c r="G966" s="1054">
        <v>5000</v>
      </c>
      <c r="H966" s="1056"/>
      <c r="I966" s="1056"/>
      <c r="J966" s="1056"/>
      <c r="K966" s="1056"/>
      <c r="L966" s="1056"/>
      <c r="M966" s="1056"/>
      <c r="N966" s="1056"/>
      <c r="O966" s="1056"/>
      <c r="P966" s="1056"/>
      <c r="Q966" s="1056"/>
      <c r="R966" s="1056"/>
      <c r="S966" s="296"/>
      <c r="T966" s="294"/>
      <c r="U966" s="294"/>
      <c r="V966" s="294"/>
      <c r="W966" s="84"/>
      <c r="X966" s="85"/>
      <c r="Y966" s="295"/>
      <c r="Z966" s="1056"/>
      <c r="AA966" s="1056"/>
      <c r="AB966" s="1056"/>
      <c r="AC966" s="1056"/>
      <c r="AD966" s="1056"/>
      <c r="AE966" s="1056"/>
      <c r="AF966" s="1456" t="s">
        <v>504</v>
      </c>
      <c r="AG966" s="1447" t="s">
        <v>508</v>
      </c>
      <c r="AH966" s="1456" t="s">
        <v>506</v>
      </c>
      <c r="AI966" s="242">
        <v>1</v>
      </c>
      <c r="AJ966" s="1055" t="s">
        <v>652</v>
      </c>
      <c r="AK966" s="1442">
        <v>3130</v>
      </c>
      <c r="AL966" s="295"/>
      <c r="AM966" s="1056"/>
      <c r="AN966" s="1056"/>
      <c r="AO966" s="1056"/>
      <c r="AP966" s="1056"/>
      <c r="AQ966" s="1056"/>
      <c r="AR966" s="1056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</row>
    <row r="967" spans="1:86" s="53" customFormat="1" ht="22.5" hidden="1" customHeight="1" x14ac:dyDescent="0.2">
      <c r="A967" s="1026"/>
      <c r="B967" s="1448"/>
      <c r="C967" s="1839"/>
      <c r="D967" s="90"/>
      <c r="E967" s="1054"/>
      <c r="F967" s="90"/>
      <c r="G967" s="1054"/>
      <c r="H967" s="1056"/>
      <c r="I967" s="1056"/>
      <c r="J967" s="1056"/>
      <c r="K967" s="1056"/>
      <c r="L967" s="1056"/>
      <c r="M967" s="1056"/>
      <c r="N967" s="1056"/>
      <c r="O967" s="1056"/>
      <c r="P967" s="1056"/>
      <c r="Q967" s="1056"/>
      <c r="R967" s="1056"/>
      <c r="S967" s="296"/>
      <c r="T967" s="294"/>
      <c r="U967" s="294"/>
      <c r="V967" s="294"/>
      <c r="W967" s="84"/>
      <c r="X967" s="85"/>
      <c r="Y967" s="295"/>
      <c r="Z967" s="1056"/>
      <c r="AA967" s="1056"/>
      <c r="AB967" s="1056"/>
      <c r="AC967" s="1056"/>
      <c r="AD967" s="1056"/>
      <c r="AE967" s="1056"/>
      <c r="AF967" s="1458"/>
      <c r="AG967" s="1448"/>
      <c r="AH967" s="1479"/>
      <c r="AI967" s="1055">
        <v>2500</v>
      </c>
      <c r="AJ967" s="1055" t="s">
        <v>507</v>
      </c>
      <c r="AK967" s="1443"/>
      <c r="AL967" s="1055"/>
      <c r="AM967" s="1056"/>
      <c r="AN967" s="1056"/>
      <c r="AO967" s="1056"/>
      <c r="AP967" s="1056"/>
      <c r="AQ967" s="1056"/>
      <c r="AR967" s="1056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</row>
    <row r="968" spans="1:86" s="53" customFormat="1" ht="22.5" hidden="1" customHeight="1" x14ac:dyDescent="0.2">
      <c r="A968" s="1026"/>
      <c r="B968" s="1449"/>
      <c r="C968" s="1840"/>
      <c r="D968" s="90"/>
      <c r="E968" s="1054"/>
      <c r="F968" s="90"/>
      <c r="G968" s="1054"/>
      <c r="H968" s="1056"/>
      <c r="I968" s="1056"/>
      <c r="J968" s="1056"/>
      <c r="K968" s="1056"/>
      <c r="L968" s="1056"/>
      <c r="M968" s="1056"/>
      <c r="N968" s="1056"/>
      <c r="O968" s="1056"/>
      <c r="P968" s="1056"/>
      <c r="Q968" s="1056"/>
      <c r="R968" s="1056"/>
      <c r="S968" s="296"/>
      <c r="T968" s="294"/>
      <c r="U968" s="294"/>
      <c r="V968" s="294"/>
      <c r="W968" s="84"/>
      <c r="X968" s="85"/>
      <c r="Y968" s="295"/>
      <c r="Z968" s="1056"/>
      <c r="AA968" s="1056"/>
      <c r="AB968" s="1056"/>
      <c r="AC968" s="1056"/>
      <c r="AD968" s="1056"/>
      <c r="AE968" s="1056"/>
      <c r="AF968" s="1457"/>
      <c r="AG968" s="1449"/>
      <c r="AH968" s="1054" t="s">
        <v>35</v>
      </c>
      <c r="AI968" s="1055">
        <v>2</v>
      </c>
      <c r="AJ968" s="1055" t="s">
        <v>8</v>
      </c>
      <c r="AK968" s="1444"/>
      <c r="AL968" s="1055"/>
      <c r="AM968" s="1056"/>
      <c r="AN968" s="1056"/>
      <c r="AO968" s="1056"/>
      <c r="AP968" s="1056"/>
      <c r="AQ968" s="1056"/>
      <c r="AR968" s="1056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</row>
    <row r="969" spans="1:86" s="53" customFormat="1" ht="22.5" hidden="1" customHeight="1" x14ac:dyDescent="0.2">
      <c r="A969" s="1026"/>
      <c r="B969" s="1447">
        <v>2240596</v>
      </c>
      <c r="C969" s="1343" t="s">
        <v>649</v>
      </c>
      <c r="D969" s="90">
        <v>1.1000000000000001</v>
      </c>
      <c r="E969" s="1054">
        <f>1.1*5000</f>
        <v>5500</v>
      </c>
      <c r="F969" s="90">
        <v>1</v>
      </c>
      <c r="G969" s="1054">
        <v>5000</v>
      </c>
      <c r="H969" s="1056"/>
      <c r="I969" s="1056"/>
      <c r="J969" s="1056"/>
      <c r="K969" s="1056"/>
      <c r="L969" s="1056"/>
      <c r="M969" s="1056"/>
      <c r="N969" s="1056"/>
      <c r="O969" s="1056"/>
      <c r="P969" s="1056"/>
      <c r="Q969" s="1056"/>
      <c r="R969" s="1056"/>
      <c r="S969" s="296"/>
      <c r="T969" s="294"/>
      <c r="U969" s="294"/>
      <c r="V969" s="294"/>
      <c r="W969" s="84"/>
      <c r="X969" s="85"/>
      <c r="Y969" s="295"/>
      <c r="Z969" s="1056"/>
      <c r="AA969" s="1056"/>
      <c r="AB969" s="1056"/>
      <c r="AC969" s="1056"/>
      <c r="AD969" s="1056"/>
      <c r="AE969" s="1056"/>
      <c r="AF969" s="1456" t="s">
        <v>504</v>
      </c>
      <c r="AG969" s="1447" t="s">
        <v>508</v>
      </c>
      <c r="AH969" s="1456" t="s">
        <v>506</v>
      </c>
      <c r="AI969" s="242">
        <v>1</v>
      </c>
      <c r="AJ969" s="1055" t="s">
        <v>652</v>
      </c>
      <c r="AK969" s="1442">
        <v>5190</v>
      </c>
      <c r="AL969" s="295"/>
      <c r="AM969" s="1056"/>
      <c r="AN969" s="1056"/>
      <c r="AO969" s="1056"/>
      <c r="AP969" s="1056"/>
      <c r="AQ969" s="1056"/>
      <c r="AR969" s="1056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</row>
    <row r="970" spans="1:86" s="53" customFormat="1" ht="22.5" hidden="1" customHeight="1" x14ac:dyDescent="0.2">
      <c r="A970" s="1026"/>
      <c r="B970" s="1448"/>
      <c r="C970" s="1839"/>
      <c r="D970" s="90"/>
      <c r="E970" s="1054"/>
      <c r="F970" s="90"/>
      <c r="G970" s="1054"/>
      <c r="H970" s="1056"/>
      <c r="I970" s="1056"/>
      <c r="J970" s="1056"/>
      <c r="K970" s="1056"/>
      <c r="L970" s="1056"/>
      <c r="M970" s="1056"/>
      <c r="N970" s="1056"/>
      <c r="O970" s="1056"/>
      <c r="P970" s="1056"/>
      <c r="Q970" s="1056"/>
      <c r="R970" s="1056"/>
      <c r="S970" s="296"/>
      <c r="T970" s="294"/>
      <c r="U970" s="294"/>
      <c r="V970" s="294"/>
      <c r="W970" s="84"/>
      <c r="X970" s="85"/>
      <c r="Y970" s="295"/>
      <c r="Z970" s="1056"/>
      <c r="AA970" s="1056"/>
      <c r="AB970" s="1056"/>
      <c r="AC970" s="1056"/>
      <c r="AD970" s="1056"/>
      <c r="AE970" s="1056"/>
      <c r="AF970" s="1458"/>
      <c r="AG970" s="1448"/>
      <c r="AH970" s="1479"/>
      <c r="AI970" s="1055">
        <v>2500</v>
      </c>
      <c r="AJ970" s="1055" t="s">
        <v>507</v>
      </c>
      <c r="AK970" s="1443"/>
      <c r="AL970" s="1055"/>
      <c r="AM970" s="1056"/>
      <c r="AN970" s="1056"/>
      <c r="AO970" s="1056"/>
      <c r="AP970" s="1056"/>
      <c r="AQ970" s="1056"/>
      <c r="AR970" s="1056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</row>
    <row r="971" spans="1:86" s="53" customFormat="1" ht="22.5" hidden="1" customHeight="1" x14ac:dyDescent="0.2">
      <c r="A971" s="1026"/>
      <c r="B971" s="1449"/>
      <c r="C971" s="1840"/>
      <c r="D971" s="90"/>
      <c r="E971" s="1054"/>
      <c r="F971" s="90"/>
      <c r="G971" s="1054"/>
      <c r="H971" s="1056"/>
      <c r="I971" s="1056"/>
      <c r="J971" s="1056"/>
      <c r="K971" s="1056"/>
      <c r="L971" s="1056"/>
      <c r="M971" s="1056"/>
      <c r="N971" s="1056"/>
      <c r="O971" s="1056"/>
      <c r="P971" s="1056"/>
      <c r="Q971" s="1056"/>
      <c r="R971" s="1056"/>
      <c r="S971" s="296"/>
      <c r="T971" s="294"/>
      <c r="U971" s="294"/>
      <c r="V971" s="294"/>
      <c r="W971" s="84"/>
      <c r="X971" s="85"/>
      <c r="Y971" s="295"/>
      <c r="Z971" s="1056"/>
      <c r="AA971" s="1056"/>
      <c r="AB971" s="1056"/>
      <c r="AC971" s="1056"/>
      <c r="AD971" s="1056"/>
      <c r="AE971" s="1056"/>
      <c r="AF971" s="1457"/>
      <c r="AG971" s="1449"/>
      <c r="AH971" s="1054" t="s">
        <v>35</v>
      </c>
      <c r="AI971" s="1055">
        <v>6</v>
      </c>
      <c r="AJ971" s="1055" t="s">
        <v>8</v>
      </c>
      <c r="AK971" s="1444"/>
      <c r="AL971" s="1055"/>
      <c r="AM971" s="1056"/>
      <c r="AN971" s="1056"/>
      <c r="AO971" s="1056"/>
      <c r="AP971" s="1056"/>
      <c r="AQ971" s="1056"/>
      <c r="AR971" s="1056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</row>
    <row r="972" spans="1:86" s="53" customFormat="1" ht="22.5" hidden="1" customHeight="1" x14ac:dyDescent="0.2">
      <c r="A972" s="1026"/>
      <c r="B972" s="1447">
        <v>2239500</v>
      </c>
      <c r="C972" s="1343" t="s">
        <v>650</v>
      </c>
      <c r="D972" s="90">
        <v>0.6</v>
      </c>
      <c r="E972" s="1054">
        <v>3000</v>
      </c>
      <c r="F972" s="90">
        <v>0.6</v>
      </c>
      <c r="G972" s="1054">
        <v>3000</v>
      </c>
      <c r="H972" s="1056"/>
      <c r="I972" s="1056"/>
      <c r="J972" s="1056"/>
      <c r="K972" s="1056"/>
      <c r="L972" s="1056"/>
      <c r="M972" s="1056"/>
      <c r="N972" s="1056"/>
      <c r="O972" s="1056"/>
      <c r="P972" s="1056"/>
      <c r="Q972" s="1056"/>
      <c r="R972" s="1056"/>
      <c r="S972" s="296"/>
      <c r="T972" s="294"/>
      <c r="U972" s="294"/>
      <c r="V972" s="294"/>
      <c r="W972" s="84"/>
      <c r="X972" s="85"/>
      <c r="Y972" s="295"/>
      <c r="Z972" s="1056"/>
      <c r="AA972" s="1056"/>
      <c r="AB972" s="1056"/>
      <c r="AC972" s="1056"/>
      <c r="AD972" s="1056"/>
      <c r="AE972" s="1056"/>
      <c r="AF972" s="1456" t="s">
        <v>504</v>
      </c>
      <c r="AG972" s="1447" t="s">
        <v>547</v>
      </c>
      <c r="AH972" s="1456" t="s">
        <v>506</v>
      </c>
      <c r="AI972" s="242">
        <v>0.6</v>
      </c>
      <c r="AJ972" s="1055" t="s">
        <v>2</v>
      </c>
      <c r="AK972" s="1442">
        <v>1875</v>
      </c>
      <c r="AL972" s="295"/>
      <c r="AM972" s="1056"/>
      <c r="AN972" s="1056"/>
      <c r="AO972" s="1056"/>
      <c r="AP972" s="1056"/>
      <c r="AQ972" s="1056"/>
      <c r="AR972" s="1056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</row>
    <row r="973" spans="1:86" s="53" customFormat="1" ht="22.5" hidden="1" customHeight="1" x14ac:dyDescent="0.2">
      <c r="A973" s="1026"/>
      <c r="B973" s="1448"/>
      <c r="C973" s="1839"/>
      <c r="D973" s="90"/>
      <c r="E973" s="1054"/>
      <c r="F973" s="90"/>
      <c r="G973" s="1054"/>
      <c r="H973" s="1056"/>
      <c r="I973" s="1056"/>
      <c r="J973" s="1056"/>
      <c r="K973" s="1056"/>
      <c r="L973" s="1056"/>
      <c r="M973" s="1056"/>
      <c r="N973" s="1056"/>
      <c r="O973" s="1056"/>
      <c r="P973" s="1056"/>
      <c r="Q973" s="1056"/>
      <c r="R973" s="1056"/>
      <c r="S973" s="296"/>
      <c r="T973" s="294"/>
      <c r="U973" s="294"/>
      <c r="V973" s="294"/>
      <c r="W973" s="84"/>
      <c r="X973" s="85"/>
      <c r="Y973" s="295"/>
      <c r="Z973" s="1056"/>
      <c r="AA973" s="1056"/>
      <c r="AB973" s="1056"/>
      <c r="AC973" s="1056"/>
      <c r="AD973" s="1056"/>
      <c r="AE973" s="1056"/>
      <c r="AF973" s="1458"/>
      <c r="AG973" s="1448"/>
      <c r="AH973" s="1479"/>
      <c r="AI973" s="1055">
        <v>3000</v>
      </c>
      <c r="AJ973" s="1055" t="s">
        <v>507</v>
      </c>
      <c r="AK973" s="1443"/>
      <c r="AL973" s="1055"/>
      <c r="AM973" s="1056"/>
      <c r="AN973" s="1056"/>
      <c r="AO973" s="1056"/>
      <c r="AP973" s="1056"/>
      <c r="AQ973" s="1056"/>
      <c r="AR973" s="1056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</row>
    <row r="974" spans="1:86" s="53" customFormat="1" ht="22.5" hidden="1" customHeight="1" x14ac:dyDescent="0.2">
      <c r="A974" s="1026"/>
      <c r="B974" s="1449"/>
      <c r="C974" s="1840"/>
      <c r="D974" s="90"/>
      <c r="E974" s="1054"/>
      <c r="F974" s="90"/>
      <c r="G974" s="1054"/>
      <c r="H974" s="1056"/>
      <c r="I974" s="1056"/>
      <c r="J974" s="1056"/>
      <c r="K974" s="1056"/>
      <c r="L974" s="1056"/>
      <c r="M974" s="1056"/>
      <c r="N974" s="1056"/>
      <c r="O974" s="1056"/>
      <c r="P974" s="1056"/>
      <c r="Q974" s="1056"/>
      <c r="R974" s="1056"/>
      <c r="S974" s="296"/>
      <c r="T974" s="294"/>
      <c r="U974" s="294"/>
      <c r="V974" s="294"/>
      <c r="W974" s="84"/>
      <c r="X974" s="85"/>
      <c r="Y974" s="295"/>
      <c r="Z974" s="1056"/>
      <c r="AA974" s="1056"/>
      <c r="AB974" s="1056"/>
      <c r="AC974" s="1056"/>
      <c r="AD974" s="1056"/>
      <c r="AE974" s="1056"/>
      <c r="AF974" s="1457"/>
      <c r="AG974" s="1449"/>
      <c r="AH974" s="1054" t="s">
        <v>35</v>
      </c>
      <c r="AI974" s="1055">
        <v>1</v>
      </c>
      <c r="AJ974" s="1055" t="s">
        <v>8</v>
      </c>
      <c r="AK974" s="1444"/>
      <c r="AL974" s="1055"/>
      <c r="AM974" s="1056"/>
      <c r="AN974" s="1056"/>
      <c r="AO974" s="1056"/>
      <c r="AP974" s="1056"/>
      <c r="AQ974" s="1056"/>
      <c r="AR974" s="1056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</row>
    <row r="975" spans="1:86" s="53" customFormat="1" ht="22.5" customHeight="1" x14ac:dyDescent="0.2">
      <c r="A975" s="1393">
        <v>20</v>
      </c>
      <c r="B975" s="1447">
        <v>2245307</v>
      </c>
      <c r="C975" s="1343" t="s">
        <v>651</v>
      </c>
      <c r="D975" s="1480">
        <v>0.6</v>
      </c>
      <c r="E975" s="1456">
        <v>3000</v>
      </c>
      <c r="F975" s="1480">
        <v>0.6</v>
      </c>
      <c r="G975" s="1456">
        <v>3000</v>
      </c>
      <c r="H975" s="1056"/>
      <c r="I975" s="1056"/>
      <c r="J975" s="1056"/>
      <c r="K975" s="1056"/>
      <c r="L975" s="1056"/>
      <c r="M975" s="1056"/>
      <c r="N975" s="1056"/>
      <c r="O975" s="1056"/>
      <c r="P975" s="1056"/>
      <c r="Q975" s="1056"/>
      <c r="R975" s="1056"/>
      <c r="S975" s="296"/>
      <c r="T975" s="690"/>
      <c r="U975" s="690"/>
      <c r="V975" s="294"/>
      <c r="W975" s="84"/>
      <c r="X975" s="85"/>
      <c r="Y975" s="295"/>
      <c r="Z975" s="1056"/>
      <c r="AA975" s="1056"/>
      <c r="AB975" s="1056"/>
      <c r="AC975" s="1056"/>
      <c r="AD975" s="1056"/>
      <c r="AE975" s="1056"/>
      <c r="AF975" s="244"/>
      <c r="AG975" s="243"/>
      <c r="AH975" s="244"/>
      <c r="AI975" s="90"/>
      <c r="AJ975" s="1054"/>
      <c r="AK975" s="751"/>
      <c r="AL975" s="1456" t="s">
        <v>504</v>
      </c>
      <c r="AM975" s="1447" t="s">
        <v>547</v>
      </c>
      <c r="AN975" s="1456" t="s">
        <v>506</v>
      </c>
      <c r="AO975" s="90">
        <v>0.6</v>
      </c>
      <c r="AP975" s="1054" t="s">
        <v>2</v>
      </c>
      <c r="AQ975" s="1731">
        <v>7200</v>
      </c>
      <c r="AR975" s="1056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</row>
    <row r="976" spans="1:86" s="53" customFormat="1" ht="22.5" customHeight="1" x14ac:dyDescent="0.2">
      <c r="A976" s="1394"/>
      <c r="B976" s="1448"/>
      <c r="C976" s="1839"/>
      <c r="D976" s="1481"/>
      <c r="E976" s="1479"/>
      <c r="F976" s="1481"/>
      <c r="G976" s="1479"/>
      <c r="H976" s="1056"/>
      <c r="I976" s="1056"/>
      <c r="J976" s="1056"/>
      <c r="K976" s="1056"/>
      <c r="L976" s="1056"/>
      <c r="M976" s="1056"/>
      <c r="N976" s="1056"/>
      <c r="O976" s="1056"/>
      <c r="P976" s="1056"/>
      <c r="Q976" s="1056"/>
      <c r="R976" s="1056"/>
      <c r="S976" s="296"/>
      <c r="T976" s="294"/>
      <c r="U976" s="294"/>
      <c r="V976" s="294"/>
      <c r="W976" s="84"/>
      <c r="X976" s="85"/>
      <c r="Y976" s="295"/>
      <c r="Z976" s="1056"/>
      <c r="AA976" s="1056"/>
      <c r="AB976" s="1056"/>
      <c r="AC976" s="1056"/>
      <c r="AD976" s="1056"/>
      <c r="AE976" s="1056"/>
      <c r="AF976" s="49"/>
      <c r="AG976" s="243"/>
      <c r="AH976" s="49"/>
      <c r="AI976" s="1054"/>
      <c r="AJ976" s="1054"/>
      <c r="AK976" s="752"/>
      <c r="AL976" s="1458"/>
      <c r="AM976" s="1448"/>
      <c r="AN976" s="1457"/>
      <c r="AO976" s="1054">
        <v>3000</v>
      </c>
      <c r="AP976" s="1054" t="s">
        <v>507</v>
      </c>
      <c r="AQ976" s="1732"/>
      <c r="AR976" s="1056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</row>
    <row r="977" spans="1:86" s="53" customFormat="1" ht="22.5" hidden="1" customHeight="1" x14ac:dyDescent="0.2">
      <c r="A977" s="1026"/>
      <c r="B977" s="1449"/>
      <c r="C977" s="1840"/>
      <c r="D977" s="90"/>
      <c r="E977" s="1054"/>
      <c r="F977" s="90"/>
      <c r="G977" s="1054"/>
      <c r="H977" s="1056"/>
      <c r="I977" s="1056"/>
      <c r="J977" s="1056"/>
      <c r="K977" s="1056"/>
      <c r="L977" s="1056"/>
      <c r="M977" s="1056"/>
      <c r="N977" s="1056"/>
      <c r="O977" s="1056"/>
      <c r="P977" s="1056"/>
      <c r="Q977" s="1056"/>
      <c r="R977" s="1056"/>
      <c r="S977" s="296"/>
      <c r="T977" s="294"/>
      <c r="U977" s="294"/>
      <c r="V977" s="294"/>
      <c r="W977" s="84"/>
      <c r="X977" s="85"/>
      <c r="Y977" s="295"/>
      <c r="Z977" s="1056"/>
      <c r="AA977" s="1056"/>
      <c r="AB977" s="1056"/>
      <c r="AC977" s="1056"/>
      <c r="AD977" s="1056"/>
      <c r="AE977" s="1056"/>
      <c r="AF977" s="49"/>
      <c r="AG977" s="243"/>
      <c r="AH977" s="1054"/>
      <c r="AI977" s="1054"/>
      <c r="AJ977" s="1054"/>
      <c r="AK977" s="752"/>
      <c r="AL977" s="1457"/>
      <c r="AM977" s="1449"/>
      <c r="AN977" s="1054" t="s">
        <v>35</v>
      </c>
      <c r="AO977" s="1054">
        <v>4</v>
      </c>
      <c r="AP977" s="1054" t="s">
        <v>8</v>
      </c>
      <c r="AQ977" s="1733"/>
      <c r="AR977" s="1056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</row>
    <row r="978" spans="1:86" s="53" customFormat="1" ht="20.25" hidden="1" customHeight="1" x14ac:dyDescent="0.2">
      <c r="A978" s="1393">
        <v>15</v>
      </c>
      <c r="B978" s="1462">
        <v>3405548</v>
      </c>
      <c r="C978" s="1660" t="s">
        <v>126</v>
      </c>
      <c r="D978" s="1868">
        <v>1.1399999999999999</v>
      </c>
      <c r="E978" s="1866">
        <v>5130</v>
      </c>
      <c r="F978" s="1868">
        <v>1.1399999999999999</v>
      </c>
      <c r="G978" s="1866">
        <v>5130</v>
      </c>
      <c r="H978" s="1056"/>
      <c r="I978" s="1056"/>
      <c r="J978" s="1056"/>
      <c r="K978" s="1056"/>
      <c r="L978" s="1056"/>
      <c r="M978" s="1056"/>
      <c r="N978" s="1056"/>
      <c r="O978" s="1056"/>
      <c r="P978" s="1056"/>
      <c r="Q978" s="1056"/>
      <c r="R978" s="1056"/>
      <c r="S978" s="296"/>
      <c r="T978" s="690"/>
      <c r="U978" s="690"/>
      <c r="V978" s="294"/>
      <c r="W978" s="84"/>
      <c r="X978" s="85"/>
      <c r="Y978" s="295"/>
      <c r="Z978" s="1035"/>
      <c r="AA978" s="1035"/>
      <c r="AB978" s="1154"/>
      <c r="AC978" s="917"/>
      <c r="AD978" s="917"/>
      <c r="AE978" s="1035"/>
      <c r="AF978" s="214"/>
      <c r="AG978" s="214"/>
      <c r="AH978" s="249"/>
      <c r="AI978" s="241"/>
      <c r="AJ978" s="1044"/>
      <c r="AK978" s="252"/>
      <c r="AL978" s="1355" t="s">
        <v>504</v>
      </c>
      <c r="AM978" s="1355" t="s">
        <v>505</v>
      </c>
      <c r="AN978" s="1500" t="s">
        <v>495</v>
      </c>
      <c r="AO978" s="241"/>
      <c r="AP978" s="1044" t="s">
        <v>2</v>
      </c>
      <c r="AQ978" s="2047">
        <f>7510*2</f>
        <v>15020</v>
      </c>
      <c r="AR978" s="1056"/>
      <c r="AS978" s="293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</row>
    <row r="979" spans="1:86" s="53" customFormat="1" ht="20.25" hidden="1" customHeight="1" x14ac:dyDescent="0.2">
      <c r="A979" s="1394"/>
      <c r="B979" s="1402"/>
      <c r="C979" s="1413"/>
      <c r="D979" s="1430"/>
      <c r="E979" s="1400"/>
      <c r="F979" s="1430"/>
      <c r="G979" s="1400"/>
      <c r="H979" s="1056"/>
      <c r="I979" s="1056"/>
      <c r="J979" s="1056"/>
      <c r="K979" s="1056"/>
      <c r="L979" s="1056"/>
      <c r="M979" s="1056"/>
      <c r="N979" s="1056"/>
      <c r="O979" s="1056"/>
      <c r="P979" s="1056"/>
      <c r="Q979" s="1056"/>
      <c r="R979" s="1056"/>
      <c r="S979" s="296"/>
      <c r="T979" s="294"/>
      <c r="U979" s="294"/>
      <c r="V979" s="294"/>
      <c r="W979" s="84"/>
      <c r="X979" s="85"/>
      <c r="Y979" s="295"/>
      <c r="Z979" s="1035"/>
      <c r="AA979" s="1035"/>
      <c r="AB979" s="1154"/>
      <c r="AC979" s="917"/>
      <c r="AD979" s="917"/>
      <c r="AE979" s="1035"/>
      <c r="AF979" s="214"/>
      <c r="AG979" s="214"/>
      <c r="AH979" s="249"/>
      <c r="AI979" s="1044"/>
      <c r="AJ979" s="1044"/>
      <c r="AK979" s="252"/>
      <c r="AL979" s="1507"/>
      <c r="AM979" s="1507"/>
      <c r="AN979" s="1502"/>
      <c r="AO979" s="1044"/>
      <c r="AP979" s="1044" t="s">
        <v>4</v>
      </c>
      <c r="AQ979" s="2065"/>
      <c r="AR979" s="295"/>
      <c r="AS979" s="293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</row>
    <row r="980" spans="1:86" s="53" customFormat="1" ht="22.5" hidden="1" customHeight="1" x14ac:dyDescent="0.2">
      <c r="A980" s="1026"/>
      <c r="B980" s="1463"/>
      <c r="C980" s="1661"/>
      <c r="D980" s="1869"/>
      <c r="E980" s="1867"/>
      <c r="F980" s="1869"/>
      <c r="G980" s="1867"/>
      <c r="H980" s="1056"/>
      <c r="I980" s="1056"/>
      <c r="J980" s="1056"/>
      <c r="K980" s="1056"/>
      <c r="L980" s="1056"/>
      <c r="M980" s="1056"/>
      <c r="N980" s="1056"/>
      <c r="O980" s="1056"/>
      <c r="P980" s="1056"/>
      <c r="Q980" s="1056"/>
      <c r="R980" s="1056"/>
      <c r="S980" s="296"/>
      <c r="T980" s="294"/>
      <c r="U980" s="294"/>
      <c r="V980" s="294"/>
      <c r="W980" s="84"/>
      <c r="X980" s="85"/>
      <c r="Y980" s="295"/>
      <c r="Z980" s="1035"/>
      <c r="AA980" s="1035"/>
      <c r="AB980" s="1154"/>
      <c r="AC980" s="917"/>
      <c r="AD980" s="917"/>
      <c r="AE980" s="1035"/>
      <c r="AF980" s="214"/>
      <c r="AG980" s="214"/>
      <c r="AH980" s="1040"/>
      <c r="AI980" s="1044"/>
      <c r="AJ980" s="1044"/>
      <c r="AK980" s="252"/>
      <c r="AL980" s="1356"/>
      <c r="AM980" s="1356"/>
      <c r="AN980" s="1040" t="s">
        <v>35</v>
      </c>
      <c r="AO980" s="1044">
        <v>6</v>
      </c>
      <c r="AP980" s="1044" t="s">
        <v>8</v>
      </c>
      <c r="AQ980" s="2066"/>
      <c r="AR980" s="295"/>
      <c r="AS980" s="293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</row>
    <row r="981" spans="1:86" s="53" customFormat="1" ht="22.5" hidden="1" customHeight="1" x14ac:dyDescent="0.2">
      <c r="A981" s="1393">
        <v>16</v>
      </c>
      <c r="B981" s="1462">
        <v>3405463</v>
      </c>
      <c r="C981" s="1464" t="s">
        <v>127</v>
      </c>
      <c r="D981" s="1302">
        <v>2.585</v>
      </c>
      <c r="E981" s="2062">
        <f>D981*4500</f>
        <v>11632.5</v>
      </c>
      <c r="F981" s="1302">
        <v>2.585</v>
      </c>
      <c r="G981" s="2062">
        <f>F981*4500</f>
        <v>11632.5</v>
      </c>
      <c r="H981" s="1056"/>
      <c r="I981" s="1056"/>
      <c r="J981" s="1056"/>
      <c r="K981" s="1056"/>
      <c r="L981" s="1056"/>
      <c r="M981" s="1056"/>
      <c r="N981" s="1056"/>
      <c r="O981" s="1056"/>
      <c r="P981" s="1056"/>
      <c r="Q981" s="1056"/>
      <c r="R981" s="1056"/>
      <c r="S981" s="296"/>
      <c r="T981" s="294"/>
      <c r="U981" s="294"/>
      <c r="V981" s="294"/>
      <c r="W981" s="84"/>
      <c r="X981" s="85"/>
      <c r="Y981" s="295"/>
      <c r="Z981" s="1035"/>
      <c r="AA981" s="1035"/>
      <c r="AB981" s="1154"/>
      <c r="AC981" s="917"/>
      <c r="AD981" s="917"/>
      <c r="AE981" s="1035"/>
      <c r="AF981" s="214"/>
      <c r="AG981" s="214"/>
      <c r="AH981" s="1040"/>
      <c r="AI981" s="1044"/>
      <c r="AJ981" s="1044"/>
      <c r="AK981" s="252"/>
      <c r="AL981" s="1355" t="s">
        <v>504</v>
      </c>
      <c r="AM981" s="1355" t="s">
        <v>653</v>
      </c>
      <c r="AN981" s="1500" t="s">
        <v>495</v>
      </c>
      <c r="AO981" s="1044"/>
      <c r="AP981" s="1044" t="s">
        <v>2</v>
      </c>
      <c r="AQ981" s="2047">
        <f>9870*2</f>
        <v>19740</v>
      </c>
      <c r="AR981" s="1056"/>
      <c r="AS981" s="293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</row>
    <row r="982" spans="1:86" s="53" customFormat="1" ht="22.5" hidden="1" customHeight="1" x14ac:dyDescent="0.2">
      <c r="A982" s="1394"/>
      <c r="B982" s="1402"/>
      <c r="C982" s="1465"/>
      <c r="D982" s="1267"/>
      <c r="E982" s="2063"/>
      <c r="F982" s="1267"/>
      <c r="G982" s="2063"/>
      <c r="H982" s="1056"/>
      <c r="I982" s="1056"/>
      <c r="J982" s="1056"/>
      <c r="K982" s="1056"/>
      <c r="L982" s="1056"/>
      <c r="M982" s="1056"/>
      <c r="N982" s="1056"/>
      <c r="O982" s="1056"/>
      <c r="P982" s="1056"/>
      <c r="Q982" s="1056"/>
      <c r="R982" s="1056"/>
      <c r="S982" s="296"/>
      <c r="T982" s="294"/>
      <c r="U982" s="294"/>
      <c r="V982" s="294"/>
      <c r="W982" s="84"/>
      <c r="X982" s="85"/>
      <c r="Y982" s="295"/>
      <c r="Z982" s="1035"/>
      <c r="AA982" s="1035"/>
      <c r="AB982" s="1154"/>
      <c r="AC982" s="917"/>
      <c r="AD982" s="917"/>
      <c r="AE982" s="1035"/>
      <c r="AF982" s="214"/>
      <c r="AG982" s="214"/>
      <c r="AH982" s="1040"/>
      <c r="AI982" s="1044"/>
      <c r="AJ982" s="1044"/>
      <c r="AK982" s="252"/>
      <c r="AL982" s="1507"/>
      <c r="AM982" s="1507"/>
      <c r="AN982" s="1502"/>
      <c r="AO982" s="1044"/>
      <c r="AP982" s="1044" t="s">
        <v>4</v>
      </c>
      <c r="AQ982" s="2065"/>
      <c r="AR982" s="295"/>
      <c r="AS982" s="293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</row>
    <row r="983" spans="1:86" s="53" customFormat="1" ht="22.5" hidden="1" customHeight="1" x14ac:dyDescent="0.2">
      <c r="A983" s="1026"/>
      <c r="B983" s="1463"/>
      <c r="C983" s="1466"/>
      <c r="D983" s="1293"/>
      <c r="E983" s="2064"/>
      <c r="F983" s="1293"/>
      <c r="G983" s="2064"/>
      <c r="H983" s="1056"/>
      <c r="I983" s="1056"/>
      <c r="J983" s="1056"/>
      <c r="K983" s="1056"/>
      <c r="L983" s="1056"/>
      <c r="M983" s="1056"/>
      <c r="N983" s="1056"/>
      <c r="O983" s="1056"/>
      <c r="P983" s="1056"/>
      <c r="Q983" s="1056"/>
      <c r="R983" s="1056"/>
      <c r="S983" s="296"/>
      <c r="T983" s="294"/>
      <c r="U983" s="294"/>
      <c r="V983" s="294"/>
      <c r="W983" s="84"/>
      <c r="X983" s="85"/>
      <c r="Y983" s="295"/>
      <c r="Z983" s="1035"/>
      <c r="AA983" s="1035"/>
      <c r="AB983" s="1154"/>
      <c r="AC983" s="917"/>
      <c r="AD983" s="917"/>
      <c r="AE983" s="1035"/>
      <c r="AF983" s="214"/>
      <c r="AG983" s="214"/>
      <c r="AH983" s="1040"/>
      <c r="AI983" s="1044"/>
      <c r="AJ983" s="1044"/>
      <c r="AK983" s="252"/>
      <c r="AL983" s="1356"/>
      <c r="AM983" s="1356"/>
      <c r="AN983" s="1040" t="s">
        <v>35</v>
      </c>
      <c r="AO983" s="1044">
        <v>8</v>
      </c>
      <c r="AP983" s="1044" t="s">
        <v>8</v>
      </c>
      <c r="AQ983" s="2066"/>
      <c r="AR983" s="295"/>
      <c r="AS983" s="293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</row>
    <row r="984" spans="1:86" s="53" customFormat="1" ht="22.5" hidden="1" customHeight="1" x14ac:dyDescent="0.2">
      <c r="A984" s="1393">
        <v>17</v>
      </c>
      <c r="B984" s="1462">
        <v>3405477</v>
      </c>
      <c r="C984" s="1464" t="s">
        <v>654</v>
      </c>
      <c r="D984" s="1467">
        <v>2.93</v>
      </c>
      <c r="E984" s="2062">
        <v>14650</v>
      </c>
      <c r="F984" s="1467">
        <v>2.93</v>
      </c>
      <c r="G984" s="2062">
        <v>14650</v>
      </c>
      <c r="H984" s="1056"/>
      <c r="I984" s="1056"/>
      <c r="J984" s="1056"/>
      <c r="K984" s="1056"/>
      <c r="L984" s="1056"/>
      <c r="M984" s="1056"/>
      <c r="N984" s="1056"/>
      <c r="O984" s="1056"/>
      <c r="P984" s="1056"/>
      <c r="Q984" s="1056"/>
      <c r="R984" s="1056"/>
      <c r="S984" s="296"/>
      <c r="T984" s="294"/>
      <c r="U984" s="294"/>
      <c r="V984" s="294"/>
      <c r="W984" s="84"/>
      <c r="X984" s="85"/>
      <c r="Y984" s="295"/>
      <c r="Z984" s="1035"/>
      <c r="AA984" s="1035"/>
      <c r="AB984" s="1154"/>
      <c r="AC984" s="917"/>
      <c r="AD984" s="917"/>
      <c r="AE984" s="1035"/>
      <c r="AF984" s="214"/>
      <c r="AG984" s="214"/>
      <c r="AH984" s="1040"/>
      <c r="AI984" s="1044"/>
      <c r="AJ984" s="1044"/>
      <c r="AK984" s="252"/>
      <c r="AL984" s="1355" t="s">
        <v>504</v>
      </c>
      <c r="AM984" s="1355" t="s">
        <v>655</v>
      </c>
      <c r="AN984" s="1500" t="s">
        <v>495</v>
      </c>
      <c r="AO984" s="241"/>
      <c r="AP984" s="1044" t="s">
        <v>2</v>
      </c>
      <c r="AQ984" s="2047">
        <f>AO984*3579.2*2</f>
        <v>0</v>
      </c>
      <c r="AR984" s="1056"/>
      <c r="AS984" s="293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</row>
    <row r="985" spans="1:86" s="53" customFormat="1" ht="22.5" hidden="1" customHeight="1" x14ac:dyDescent="0.2">
      <c r="A985" s="1394"/>
      <c r="B985" s="1402"/>
      <c r="C985" s="1465"/>
      <c r="D985" s="1468"/>
      <c r="E985" s="2063"/>
      <c r="F985" s="1468"/>
      <c r="G985" s="2063"/>
      <c r="H985" s="1056"/>
      <c r="I985" s="1056"/>
      <c r="J985" s="1056"/>
      <c r="K985" s="1056"/>
      <c r="L985" s="1056"/>
      <c r="M985" s="1056"/>
      <c r="N985" s="1056"/>
      <c r="O985" s="1056"/>
      <c r="P985" s="1056"/>
      <c r="Q985" s="1056"/>
      <c r="R985" s="1056"/>
      <c r="S985" s="296"/>
      <c r="T985" s="294"/>
      <c r="U985" s="294"/>
      <c r="V985" s="294"/>
      <c r="W985" s="84"/>
      <c r="X985" s="85"/>
      <c r="Y985" s="295"/>
      <c r="Z985" s="1035"/>
      <c r="AA985" s="1035"/>
      <c r="AB985" s="1154"/>
      <c r="AC985" s="917"/>
      <c r="AD985" s="917"/>
      <c r="AE985" s="1035"/>
      <c r="AF985" s="214"/>
      <c r="AG985" s="214"/>
      <c r="AH985" s="1040"/>
      <c r="AI985" s="1044"/>
      <c r="AJ985" s="1044"/>
      <c r="AK985" s="252"/>
      <c r="AL985" s="1507"/>
      <c r="AM985" s="1507"/>
      <c r="AN985" s="1502"/>
      <c r="AO985" s="1044"/>
      <c r="AP985" s="1044" t="s">
        <v>4</v>
      </c>
      <c r="AQ985" s="2048"/>
      <c r="AR985" s="295"/>
      <c r="AS985" s="293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</row>
    <row r="986" spans="1:86" s="53" customFormat="1" ht="22.5" hidden="1" customHeight="1" x14ac:dyDescent="0.2">
      <c r="A986" s="1026"/>
      <c r="B986" s="1463"/>
      <c r="C986" s="1466"/>
      <c r="D986" s="1469"/>
      <c r="E986" s="2064"/>
      <c r="F986" s="1469"/>
      <c r="G986" s="2064"/>
      <c r="H986" s="1056"/>
      <c r="I986" s="1056"/>
      <c r="J986" s="1056"/>
      <c r="K986" s="1056"/>
      <c r="L986" s="1056"/>
      <c r="M986" s="1056"/>
      <c r="N986" s="1056"/>
      <c r="O986" s="1056"/>
      <c r="P986" s="1056"/>
      <c r="Q986" s="1056"/>
      <c r="R986" s="1056"/>
      <c r="S986" s="296"/>
      <c r="T986" s="294"/>
      <c r="U986" s="294"/>
      <c r="V986" s="294"/>
      <c r="W986" s="84"/>
      <c r="X986" s="85"/>
      <c r="Y986" s="295"/>
      <c r="Z986" s="1035"/>
      <c r="AA986" s="1035"/>
      <c r="AB986" s="1154"/>
      <c r="AC986" s="917"/>
      <c r="AD986" s="917"/>
      <c r="AE986" s="1035"/>
      <c r="AF986" s="214"/>
      <c r="AG986" s="214"/>
      <c r="AH986" s="1040"/>
      <c r="AI986" s="1044"/>
      <c r="AJ986" s="1044"/>
      <c r="AK986" s="252"/>
      <c r="AL986" s="1356"/>
      <c r="AM986" s="1356"/>
      <c r="AN986" s="1040" t="s">
        <v>35</v>
      </c>
      <c r="AO986" s="1044">
        <v>10</v>
      </c>
      <c r="AP986" s="1044" t="s">
        <v>8</v>
      </c>
      <c r="AQ986" s="2049"/>
      <c r="AR986" s="295"/>
      <c r="AS986" s="293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</row>
    <row r="987" spans="1:86" s="53" customFormat="1" ht="22.5" customHeight="1" x14ac:dyDescent="0.2">
      <c r="A987" s="1393">
        <v>21</v>
      </c>
      <c r="B987" s="1462">
        <v>2238672</v>
      </c>
      <c r="C987" s="1464" t="s">
        <v>656</v>
      </c>
      <c r="D987" s="1467">
        <v>0.34499999999999997</v>
      </c>
      <c r="E987" s="1302">
        <v>1553</v>
      </c>
      <c r="F987" s="1467">
        <v>0.34499999999999997</v>
      </c>
      <c r="G987" s="1302">
        <v>1553</v>
      </c>
      <c r="H987" s="1056"/>
      <c r="I987" s="1056"/>
      <c r="J987" s="1056"/>
      <c r="K987" s="1056"/>
      <c r="L987" s="1056"/>
      <c r="M987" s="1056"/>
      <c r="N987" s="1056"/>
      <c r="O987" s="1056"/>
      <c r="P987" s="1056"/>
      <c r="Q987" s="1056"/>
      <c r="R987" s="1056"/>
      <c r="S987" s="296"/>
      <c r="T987" s="294"/>
      <c r="U987" s="294"/>
      <c r="V987" s="294"/>
      <c r="W987" s="84"/>
      <c r="X987" s="85"/>
      <c r="Y987" s="295"/>
      <c r="Z987" s="1035"/>
      <c r="AA987" s="1035"/>
      <c r="AB987" s="1154"/>
      <c r="AC987" s="917"/>
      <c r="AD987" s="917"/>
      <c r="AE987" s="1035"/>
      <c r="AF987" s="214"/>
      <c r="AG987" s="214"/>
      <c r="AH987" s="1040"/>
      <c r="AI987" s="1044"/>
      <c r="AJ987" s="1044"/>
      <c r="AK987" s="252"/>
      <c r="AL987" s="1355" t="s">
        <v>504</v>
      </c>
      <c r="AM987" s="1500" t="s">
        <v>659</v>
      </c>
      <c r="AN987" s="1500" t="s">
        <v>495</v>
      </c>
      <c r="AO987" s="1040">
        <v>0.34499999999999997</v>
      </c>
      <c r="AP987" s="1040" t="s">
        <v>2</v>
      </c>
      <c r="AQ987" s="1526">
        <v>3500</v>
      </c>
      <c r="AR987" s="1056"/>
      <c r="AS987" s="293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</row>
    <row r="988" spans="1:86" s="53" customFormat="1" ht="22.5" customHeight="1" x14ac:dyDescent="0.2">
      <c r="A988" s="1394"/>
      <c r="B988" s="1402"/>
      <c r="C988" s="1465"/>
      <c r="D988" s="1468"/>
      <c r="E988" s="1267"/>
      <c r="F988" s="1468"/>
      <c r="G988" s="1267"/>
      <c r="H988" s="1056"/>
      <c r="I988" s="1056"/>
      <c r="J988" s="1056"/>
      <c r="K988" s="1056"/>
      <c r="L988" s="1056"/>
      <c r="M988" s="1056"/>
      <c r="N988" s="1056"/>
      <c r="O988" s="1056"/>
      <c r="P988" s="1056"/>
      <c r="Q988" s="1056"/>
      <c r="R988" s="1056"/>
      <c r="S988" s="296"/>
      <c r="T988" s="294"/>
      <c r="U988" s="294"/>
      <c r="V988" s="294"/>
      <c r="W988" s="84"/>
      <c r="X988" s="85"/>
      <c r="Y988" s="295"/>
      <c r="Z988" s="1035"/>
      <c r="AA988" s="1035"/>
      <c r="AB988" s="1154"/>
      <c r="AC988" s="917"/>
      <c r="AD988" s="917"/>
      <c r="AE988" s="1035"/>
      <c r="AF988" s="214"/>
      <c r="AG988" s="214"/>
      <c r="AH988" s="1040"/>
      <c r="AI988" s="1044"/>
      <c r="AJ988" s="1044"/>
      <c r="AK988" s="252"/>
      <c r="AL988" s="1507"/>
      <c r="AM988" s="1458"/>
      <c r="AN988" s="1457"/>
      <c r="AO988" s="1040">
        <v>1553</v>
      </c>
      <c r="AP988" s="1040" t="s">
        <v>4</v>
      </c>
      <c r="AQ988" s="1732"/>
      <c r="AR988" s="295"/>
      <c r="AS988" s="293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</row>
    <row r="989" spans="1:86" s="53" customFormat="1" ht="22.5" hidden="1" customHeight="1" x14ac:dyDescent="0.2">
      <c r="A989" s="1026"/>
      <c r="B989" s="1463"/>
      <c r="C989" s="1466"/>
      <c r="D989" s="1469"/>
      <c r="E989" s="1293"/>
      <c r="F989" s="1469"/>
      <c r="G989" s="1293"/>
      <c r="H989" s="1056"/>
      <c r="I989" s="1056"/>
      <c r="J989" s="1056"/>
      <c r="K989" s="1056"/>
      <c r="L989" s="1056"/>
      <c r="M989" s="1056"/>
      <c r="N989" s="1056"/>
      <c r="O989" s="1056"/>
      <c r="P989" s="1056"/>
      <c r="Q989" s="1056"/>
      <c r="R989" s="1056"/>
      <c r="S989" s="296"/>
      <c r="T989" s="294"/>
      <c r="U989" s="294"/>
      <c r="V989" s="294"/>
      <c r="W989" s="84"/>
      <c r="X989" s="85"/>
      <c r="Y989" s="295"/>
      <c r="Z989" s="1035"/>
      <c r="AA989" s="1035"/>
      <c r="AB989" s="1154"/>
      <c r="AC989" s="917"/>
      <c r="AD989" s="917"/>
      <c r="AE989" s="1035"/>
      <c r="AF989" s="214"/>
      <c r="AG989" s="214"/>
      <c r="AH989" s="1040"/>
      <c r="AI989" s="1044"/>
      <c r="AJ989" s="1044"/>
      <c r="AK989" s="252"/>
      <c r="AL989" s="1356"/>
      <c r="AM989" s="1457"/>
      <c r="AN989" s="1040" t="s">
        <v>35</v>
      </c>
      <c r="AO989" s="1040">
        <v>2</v>
      </c>
      <c r="AP989" s="594" t="s">
        <v>8</v>
      </c>
      <c r="AQ989" s="1733"/>
      <c r="AR989" s="295"/>
      <c r="AS989" s="293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</row>
    <row r="990" spans="1:86" s="53" customFormat="1" ht="22.5" hidden="1" customHeight="1" x14ac:dyDescent="0.2">
      <c r="A990" s="1393">
        <v>17</v>
      </c>
      <c r="B990" s="1462">
        <v>2241500</v>
      </c>
      <c r="C990" s="1464" t="s">
        <v>657</v>
      </c>
      <c r="D990" s="1467">
        <v>0.24199999999999999</v>
      </c>
      <c r="E990" s="1302">
        <v>1090</v>
      </c>
      <c r="F990" s="1467">
        <v>0.24199999999999999</v>
      </c>
      <c r="G990" s="1302">
        <v>1090</v>
      </c>
      <c r="H990" s="1056"/>
      <c r="I990" s="1056"/>
      <c r="J990" s="1056"/>
      <c r="K990" s="1056"/>
      <c r="L990" s="1056"/>
      <c r="M990" s="1056"/>
      <c r="N990" s="1056"/>
      <c r="O990" s="1056"/>
      <c r="P990" s="1056"/>
      <c r="Q990" s="1056"/>
      <c r="R990" s="1056"/>
      <c r="S990" s="296"/>
      <c r="T990" s="294"/>
      <c r="U990" s="294"/>
      <c r="V990" s="294"/>
      <c r="W990" s="84"/>
      <c r="X990" s="85"/>
      <c r="Y990" s="295"/>
      <c r="Z990" s="1355" t="s">
        <v>504</v>
      </c>
      <c r="AA990" s="1355" t="s">
        <v>660</v>
      </c>
      <c r="AB990" s="1500" t="s">
        <v>495</v>
      </c>
      <c r="AC990" s="1044"/>
      <c r="AD990" s="1044" t="s">
        <v>2</v>
      </c>
      <c r="AE990" s="2047"/>
      <c r="AF990" s="214"/>
      <c r="AG990" s="214"/>
      <c r="AH990" s="1040"/>
      <c r="AI990" s="1044"/>
      <c r="AJ990" s="1044"/>
      <c r="AK990" s="252"/>
      <c r="AL990" s="214"/>
      <c r="AM990" s="214"/>
      <c r="AN990" s="249"/>
      <c r="AO990" s="1044"/>
      <c r="AP990" s="593"/>
      <c r="AQ990" s="782"/>
      <c r="AR990" s="295"/>
      <c r="AS990" s="293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</row>
    <row r="991" spans="1:86" s="53" customFormat="1" ht="22.5" hidden="1" customHeight="1" x14ac:dyDescent="0.2">
      <c r="A991" s="1394"/>
      <c r="B991" s="1402"/>
      <c r="C991" s="1465"/>
      <c r="D991" s="1468"/>
      <c r="E991" s="1267"/>
      <c r="F991" s="1468"/>
      <c r="G991" s="1267"/>
      <c r="H991" s="1056"/>
      <c r="I991" s="1056"/>
      <c r="J991" s="1056"/>
      <c r="K991" s="1056"/>
      <c r="L991" s="1056"/>
      <c r="M991" s="1056"/>
      <c r="N991" s="1056"/>
      <c r="O991" s="1056"/>
      <c r="P991" s="1056"/>
      <c r="Q991" s="1056"/>
      <c r="R991" s="1056"/>
      <c r="S991" s="296"/>
      <c r="T991" s="294"/>
      <c r="U991" s="294"/>
      <c r="V991" s="294"/>
      <c r="W991" s="84"/>
      <c r="X991" s="85"/>
      <c r="Y991" s="295"/>
      <c r="Z991" s="1507"/>
      <c r="AA991" s="1445"/>
      <c r="AB991" s="1457"/>
      <c r="AC991" s="1044"/>
      <c r="AD991" s="1044" t="s">
        <v>4</v>
      </c>
      <c r="AE991" s="2065"/>
      <c r="AF991" s="214"/>
      <c r="AG991" s="214"/>
      <c r="AH991" s="1040"/>
      <c r="AI991" s="1044"/>
      <c r="AJ991" s="1044"/>
      <c r="AK991" s="252"/>
      <c r="AL991" s="214"/>
      <c r="AM991" s="48"/>
      <c r="AN991" s="49"/>
      <c r="AO991" s="1044"/>
      <c r="AP991" s="593"/>
      <c r="AQ991" s="782"/>
      <c r="AR991" s="295"/>
      <c r="AS991" s="293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</row>
    <row r="992" spans="1:86" s="53" customFormat="1" ht="22.5" hidden="1" customHeight="1" x14ac:dyDescent="0.2">
      <c r="A992" s="1026"/>
      <c r="B992" s="1463"/>
      <c r="C992" s="1466"/>
      <c r="D992" s="1469"/>
      <c r="E992" s="1293"/>
      <c r="F992" s="1469"/>
      <c r="G992" s="1293"/>
      <c r="H992" s="1056"/>
      <c r="I992" s="1056"/>
      <c r="J992" s="1056"/>
      <c r="K992" s="1056"/>
      <c r="L992" s="1056"/>
      <c r="M992" s="1056"/>
      <c r="N992" s="1056"/>
      <c r="O992" s="1056"/>
      <c r="P992" s="1056"/>
      <c r="Q992" s="1056"/>
      <c r="R992" s="1056"/>
      <c r="S992" s="296"/>
      <c r="T992" s="294"/>
      <c r="U992" s="294"/>
      <c r="V992" s="294"/>
      <c r="W992" s="84"/>
      <c r="X992" s="85"/>
      <c r="Y992" s="295"/>
      <c r="Z992" s="1356"/>
      <c r="AA992" s="1446"/>
      <c r="AB992" s="1040" t="s">
        <v>35</v>
      </c>
      <c r="AC992" s="1044">
        <v>2</v>
      </c>
      <c r="AD992" s="1044" t="s">
        <v>8</v>
      </c>
      <c r="AE992" s="2066"/>
      <c r="AF992" s="214"/>
      <c r="AG992" s="214"/>
      <c r="AH992" s="1040"/>
      <c r="AI992" s="1044"/>
      <c r="AJ992" s="1044"/>
      <c r="AK992" s="252"/>
      <c r="AL992" s="214"/>
      <c r="AM992" s="48"/>
      <c r="AN992" s="1040"/>
      <c r="AO992" s="1044"/>
      <c r="AP992" s="593"/>
      <c r="AQ992" s="782"/>
      <c r="AR992" s="295"/>
      <c r="AS992" s="293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</row>
    <row r="993" spans="1:86" s="53" customFormat="1" ht="22.5" customHeight="1" x14ac:dyDescent="0.2">
      <c r="A993" s="1393">
        <v>22</v>
      </c>
      <c r="B993" s="1462">
        <v>2242583</v>
      </c>
      <c r="C993" s="1464" t="s">
        <v>633</v>
      </c>
      <c r="D993" s="1467">
        <v>0.36399999999999999</v>
      </c>
      <c r="E993" s="1302">
        <v>1638</v>
      </c>
      <c r="F993" s="1467">
        <v>0.36399999999999999</v>
      </c>
      <c r="G993" s="1302">
        <v>1638</v>
      </c>
      <c r="H993" s="1056"/>
      <c r="I993" s="1056"/>
      <c r="J993" s="1056"/>
      <c r="K993" s="1056"/>
      <c r="L993" s="1056"/>
      <c r="M993" s="1056"/>
      <c r="N993" s="1056"/>
      <c r="O993" s="1056"/>
      <c r="P993" s="1056"/>
      <c r="Q993" s="1056"/>
      <c r="R993" s="1056"/>
      <c r="S993" s="296"/>
      <c r="T993" s="294"/>
      <c r="U993" s="294"/>
      <c r="V993" s="294"/>
      <c r="W993" s="84"/>
      <c r="X993" s="85"/>
      <c r="Y993" s="295"/>
      <c r="Z993" s="1035"/>
      <c r="AA993" s="1035"/>
      <c r="AB993" s="1154"/>
      <c r="AC993" s="917"/>
      <c r="AD993" s="917"/>
      <c r="AE993" s="1035"/>
      <c r="AF993" s="214"/>
      <c r="AG993" s="214"/>
      <c r="AH993" s="1040"/>
      <c r="AI993" s="1044"/>
      <c r="AJ993" s="1044"/>
      <c r="AK993" s="252"/>
      <c r="AL993" s="1355" t="s">
        <v>504</v>
      </c>
      <c r="AM993" s="1500" t="s">
        <v>634</v>
      </c>
      <c r="AN993" s="1500" t="s">
        <v>495</v>
      </c>
      <c r="AO993" s="1040">
        <v>0.36399999999999999</v>
      </c>
      <c r="AP993" s="1040" t="s">
        <v>2</v>
      </c>
      <c r="AQ993" s="1526">
        <v>4300</v>
      </c>
      <c r="AR993" s="1056"/>
      <c r="AS993" s="293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</row>
    <row r="994" spans="1:86" s="53" customFormat="1" ht="22.5" customHeight="1" x14ac:dyDescent="0.2">
      <c r="A994" s="1394"/>
      <c r="B994" s="1402"/>
      <c r="C994" s="1839"/>
      <c r="D994" s="1468"/>
      <c r="E994" s="1267"/>
      <c r="F994" s="1468"/>
      <c r="G994" s="1267"/>
      <c r="H994" s="1056"/>
      <c r="I994" s="1056"/>
      <c r="J994" s="1056"/>
      <c r="K994" s="1056"/>
      <c r="L994" s="1056"/>
      <c r="M994" s="1056"/>
      <c r="N994" s="1056"/>
      <c r="O994" s="1056"/>
      <c r="P994" s="1056"/>
      <c r="Q994" s="1056"/>
      <c r="R994" s="1056"/>
      <c r="S994" s="296"/>
      <c r="T994" s="294"/>
      <c r="U994" s="294"/>
      <c r="V994" s="294"/>
      <c r="W994" s="84"/>
      <c r="X994" s="85"/>
      <c r="Y994" s="295"/>
      <c r="Z994" s="1035"/>
      <c r="AA994" s="1035"/>
      <c r="AB994" s="1154"/>
      <c r="AC994" s="917"/>
      <c r="AD994" s="917"/>
      <c r="AE994" s="1035"/>
      <c r="AF994" s="214"/>
      <c r="AG994" s="214"/>
      <c r="AH994" s="1040"/>
      <c r="AI994" s="1044"/>
      <c r="AJ994" s="1044"/>
      <c r="AK994" s="252"/>
      <c r="AL994" s="1507"/>
      <c r="AM994" s="1458"/>
      <c r="AN994" s="1457"/>
      <c r="AO994" s="1040">
        <v>1638</v>
      </c>
      <c r="AP994" s="1040" t="s">
        <v>4</v>
      </c>
      <c r="AQ994" s="2058"/>
      <c r="AR994" s="295"/>
      <c r="AS994" s="293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</row>
    <row r="995" spans="1:86" s="53" customFormat="1" ht="22.5" hidden="1" customHeight="1" x14ac:dyDescent="0.2">
      <c r="A995" s="1026"/>
      <c r="B995" s="1463"/>
      <c r="C995" s="1840"/>
      <c r="D995" s="1469"/>
      <c r="E995" s="1293"/>
      <c r="F995" s="1469"/>
      <c r="G995" s="1293"/>
      <c r="H995" s="1056"/>
      <c r="I995" s="1056"/>
      <c r="J995" s="1056"/>
      <c r="K995" s="1056"/>
      <c r="L995" s="1056"/>
      <c r="M995" s="1056"/>
      <c r="N995" s="1056"/>
      <c r="O995" s="1056"/>
      <c r="P995" s="1056"/>
      <c r="Q995" s="1056"/>
      <c r="R995" s="1056"/>
      <c r="S995" s="296"/>
      <c r="T995" s="294"/>
      <c r="U995" s="294"/>
      <c r="V995" s="294"/>
      <c r="W995" s="84"/>
      <c r="X995" s="85"/>
      <c r="Y995" s="295"/>
      <c r="Z995" s="1035"/>
      <c r="AA995" s="1035"/>
      <c r="AB995" s="1154"/>
      <c r="AC995" s="917"/>
      <c r="AD995" s="917"/>
      <c r="AE995" s="1035"/>
      <c r="AF995" s="214"/>
      <c r="AG995" s="214"/>
      <c r="AH995" s="1040"/>
      <c r="AI995" s="1044"/>
      <c r="AJ995" s="1044"/>
      <c r="AK995" s="252"/>
      <c r="AL995" s="1356"/>
      <c r="AM995" s="1457"/>
      <c r="AN995" s="1040" t="s">
        <v>35</v>
      </c>
      <c r="AO995" s="1040">
        <v>2</v>
      </c>
      <c r="AP995" s="1040" t="s">
        <v>8</v>
      </c>
      <c r="AQ995" s="1527"/>
      <c r="AR995" s="295"/>
      <c r="AS995" s="293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</row>
    <row r="996" spans="1:86" s="53" customFormat="1" ht="22.5" hidden="1" customHeight="1" x14ac:dyDescent="0.2">
      <c r="A996" s="1393">
        <v>30</v>
      </c>
      <c r="B996" s="1462">
        <v>2246040</v>
      </c>
      <c r="C996" s="2059" t="s">
        <v>658</v>
      </c>
      <c r="D996" s="1467">
        <v>0.14299999999999999</v>
      </c>
      <c r="E996" s="1302">
        <v>639</v>
      </c>
      <c r="F996" s="1467">
        <v>0.14299999999999999</v>
      </c>
      <c r="G996" s="1302">
        <v>639</v>
      </c>
      <c r="H996" s="1056"/>
      <c r="I996" s="1056"/>
      <c r="J996" s="1056"/>
      <c r="K996" s="1056"/>
      <c r="L996" s="1056"/>
      <c r="M996" s="1056"/>
      <c r="N996" s="1056"/>
      <c r="O996" s="1056"/>
      <c r="P996" s="1056"/>
      <c r="Q996" s="1056"/>
      <c r="R996" s="1056"/>
      <c r="S996" s="296"/>
      <c r="T996" s="294"/>
      <c r="U996" s="294"/>
      <c r="V996" s="294"/>
      <c r="W996" s="84"/>
      <c r="X996" s="85"/>
      <c r="Y996" s="295"/>
      <c r="Z996" s="1035"/>
      <c r="AA996" s="1035"/>
      <c r="AB996" s="1154"/>
      <c r="AC996" s="917"/>
      <c r="AD996" s="917"/>
      <c r="AE996" s="1035"/>
      <c r="AF996" s="214"/>
      <c r="AG996" s="214"/>
      <c r="AH996" s="1040"/>
      <c r="AI996" s="1044"/>
      <c r="AJ996" s="1044"/>
      <c r="AK996" s="252"/>
      <c r="AL996" s="1355" t="s">
        <v>504</v>
      </c>
      <c r="AM996" s="1500" t="s">
        <v>1379</v>
      </c>
      <c r="AN996" s="1500" t="s">
        <v>495</v>
      </c>
      <c r="AO996" s="1040"/>
      <c r="AP996" s="1040" t="s">
        <v>2</v>
      </c>
      <c r="AQ996" s="1526"/>
      <c r="AR996" s="295"/>
      <c r="AS996" s="293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</row>
    <row r="997" spans="1:86" s="53" customFormat="1" ht="22.5" hidden="1" customHeight="1" x14ac:dyDescent="0.2">
      <c r="A997" s="1394"/>
      <c r="B997" s="1402"/>
      <c r="C997" s="2060"/>
      <c r="D997" s="1468"/>
      <c r="E997" s="1267"/>
      <c r="F997" s="1468"/>
      <c r="G997" s="1267"/>
      <c r="H997" s="1056"/>
      <c r="I997" s="1056"/>
      <c r="J997" s="1056"/>
      <c r="K997" s="1056"/>
      <c r="L997" s="1056"/>
      <c r="M997" s="1056"/>
      <c r="N997" s="1056"/>
      <c r="O997" s="1056"/>
      <c r="P997" s="1056"/>
      <c r="Q997" s="1056"/>
      <c r="R997" s="1056"/>
      <c r="S997" s="296"/>
      <c r="T997" s="294"/>
      <c r="U997" s="294"/>
      <c r="V997" s="294"/>
      <c r="W997" s="84"/>
      <c r="X997" s="85"/>
      <c r="Y997" s="295"/>
      <c r="Z997" s="1035"/>
      <c r="AA997" s="1035"/>
      <c r="AB997" s="1154"/>
      <c r="AC997" s="917"/>
      <c r="AD997" s="917"/>
      <c r="AE997" s="1035"/>
      <c r="AF997" s="214"/>
      <c r="AG997" s="214"/>
      <c r="AH997" s="1040"/>
      <c r="AI997" s="1044"/>
      <c r="AJ997" s="1044"/>
      <c r="AK997" s="252"/>
      <c r="AL997" s="1507"/>
      <c r="AM997" s="1458"/>
      <c r="AN997" s="1502"/>
      <c r="AO997" s="1040"/>
      <c r="AP997" s="1040" t="s">
        <v>4</v>
      </c>
      <c r="AQ997" s="2058"/>
      <c r="AR997" s="295"/>
      <c r="AS997" s="293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</row>
    <row r="998" spans="1:86" s="53" customFormat="1" ht="22.5" hidden="1" customHeight="1" x14ac:dyDescent="0.2">
      <c r="A998" s="1026"/>
      <c r="B998" s="1463"/>
      <c r="C998" s="2061"/>
      <c r="D998" s="1469"/>
      <c r="E998" s="1293"/>
      <c r="F998" s="1469"/>
      <c r="G998" s="1293"/>
      <c r="H998" s="1056"/>
      <c r="I998" s="1056"/>
      <c r="J998" s="1056"/>
      <c r="K998" s="1056"/>
      <c r="L998" s="1056"/>
      <c r="M998" s="1056"/>
      <c r="N998" s="1056"/>
      <c r="O998" s="1056"/>
      <c r="P998" s="1056"/>
      <c r="Q998" s="1056"/>
      <c r="R998" s="1056"/>
      <c r="S998" s="296"/>
      <c r="T998" s="294"/>
      <c r="U998" s="294"/>
      <c r="V998" s="294"/>
      <c r="W998" s="84"/>
      <c r="X998" s="85"/>
      <c r="Y998" s="295"/>
      <c r="Z998" s="1035"/>
      <c r="AA998" s="1035"/>
      <c r="AB998" s="1154"/>
      <c r="AC998" s="917"/>
      <c r="AD998" s="917"/>
      <c r="AE998" s="1035"/>
      <c r="AF998" s="214"/>
      <c r="AG998" s="214"/>
      <c r="AH998" s="1040"/>
      <c r="AI998" s="1044"/>
      <c r="AJ998" s="1044"/>
      <c r="AK998" s="252"/>
      <c r="AL998" s="1356"/>
      <c r="AM998" s="1457"/>
      <c r="AN998" s="1040" t="s">
        <v>35</v>
      </c>
      <c r="AO998" s="1040">
        <v>2</v>
      </c>
      <c r="AP998" s="1040" t="s">
        <v>8</v>
      </c>
      <c r="AQ998" s="1527"/>
      <c r="AR998" s="295"/>
      <c r="AS998" s="293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</row>
    <row r="999" spans="1:86" s="53" customFormat="1" ht="22.5" hidden="1" customHeight="1" x14ac:dyDescent="0.2">
      <c r="A999" s="1393">
        <v>31</v>
      </c>
      <c r="B999" s="1462">
        <v>2244518</v>
      </c>
      <c r="C999" s="1343" t="s">
        <v>499</v>
      </c>
      <c r="D999" s="1475">
        <v>0.45</v>
      </c>
      <c r="E999" s="1462">
        <v>1800</v>
      </c>
      <c r="F999" s="1475">
        <v>0.45</v>
      </c>
      <c r="G999" s="1462">
        <v>1800</v>
      </c>
      <c r="H999" s="1056"/>
      <c r="I999" s="1056"/>
      <c r="J999" s="1056"/>
      <c r="K999" s="1056"/>
      <c r="L999" s="1056"/>
      <c r="M999" s="1056"/>
      <c r="N999" s="1056"/>
      <c r="O999" s="1056"/>
      <c r="P999" s="1056"/>
      <c r="Q999" s="1056"/>
      <c r="R999" s="1056"/>
      <c r="S999" s="296"/>
      <c r="T999" s="294"/>
      <c r="U999" s="294"/>
      <c r="V999" s="294"/>
      <c r="W999" s="84"/>
      <c r="X999" s="85"/>
      <c r="Y999" s="295"/>
      <c r="Z999" s="1035"/>
      <c r="AA999" s="1035"/>
      <c r="AB999" s="1154"/>
      <c r="AC999" s="917"/>
      <c r="AD999" s="917"/>
      <c r="AE999" s="1035"/>
      <c r="AF999" s="243"/>
      <c r="AG999" s="243"/>
      <c r="AH999" s="244"/>
      <c r="AI999" s="242"/>
      <c r="AJ999" s="1055"/>
      <c r="AK999" s="52"/>
      <c r="AL999" s="1447" t="s">
        <v>504</v>
      </c>
      <c r="AM999" s="1447" t="s">
        <v>545</v>
      </c>
      <c r="AN999" s="1456" t="s">
        <v>506</v>
      </c>
      <c r="AO999" s="242"/>
      <c r="AP999" s="1055" t="s">
        <v>2</v>
      </c>
      <c r="AQ999" s="2055"/>
      <c r="AR999" s="295"/>
      <c r="AS999" s="293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</row>
    <row r="1000" spans="1:86" s="53" customFormat="1" ht="22.5" hidden="1" customHeight="1" x14ac:dyDescent="0.2">
      <c r="A1000" s="1394"/>
      <c r="B1000" s="1402"/>
      <c r="C1000" s="1531"/>
      <c r="D1000" s="1451"/>
      <c r="E1000" s="1402"/>
      <c r="F1000" s="1451"/>
      <c r="G1000" s="1402"/>
      <c r="H1000" s="1056"/>
      <c r="I1000" s="1056"/>
      <c r="J1000" s="1056"/>
      <c r="K1000" s="1056"/>
      <c r="L1000" s="1056"/>
      <c r="M1000" s="1056"/>
      <c r="N1000" s="1056"/>
      <c r="O1000" s="1056"/>
      <c r="P1000" s="1056"/>
      <c r="Q1000" s="1056"/>
      <c r="R1000" s="1056"/>
      <c r="S1000" s="296"/>
      <c r="T1000" s="294"/>
      <c r="U1000" s="294"/>
      <c r="V1000" s="294"/>
      <c r="W1000" s="84"/>
      <c r="X1000" s="85"/>
      <c r="Y1000" s="295"/>
      <c r="Z1000" s="1035"/>
      <c r="AA1000" s="1035"/>
      <c r="AB1000" s="1154"/>
      <c r="AC1000" s="917"/>
      <c r="AD1000" s="917"/>
      <c r="AE1000" s="1035"/>
      <c r="AF1000" s="243"/>
      <c r="AG1000" s="243"/>
      <c r="AH1000" s="244"/>
      <c r="AI1000" s="1055"/>
      <c r="AJ1000" s="1055"/>
      <c r="AK1000" s="52"/>
      <c r="AL1000" s="1448"/>
      <c r="AM1000" s="1448"/>
      <c r="AN1000" s="1479"/>
      <c r="AO1000" s="1055"/>
      <c r="AP1000" s="1055" t="s">
        <v>507</v>
      </c>
      <c r="AQ1000" s="2056"/>
      <c r="AR1000" s="295"/>
      <c r="AS1000" s="293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</row>
    <row r="1001" spans="1:86" s="53" customFormat="1" ht="22.5" hidden="1" customHeight="1" x14ac:dyDescent="0.2">
      <c r="A1001" s="1026"/>
      <c r="B1001" s="1463"/>
      <c r="C1001" s="1532"/>
      <c r="D1001" s="1476"/>
      <c r="E1001" s="1463"/>
      <c r="F1001" s="1476"/>
      <c r="G1001" s="1463"/>
      <c r="H1001" s="1056"/>
      <c r="I1001" s="1056"/>
      <c r="J1001" s="1056"/>
      <c r="K1001" s="1056"/>
      <c r="L1001" s="1056"/>
      <c r="M1001" s="1056"/>
      <c r="N1001" s="1056"/>
      <c r="O1001" s="1056"/>
      <c r="P1001" s="1056"/>
      <c r="Q1001" s="1056"/>
      <c r="R1001" s="1056"/>
      <c r="S1001" s="296"/>
      <c r="T1001" s="294"/>
      <c r="U1001" s="294"/>
      <c r="V1001" s="294"/>
      <c r="W1001" s="84"/>
      <c r="X1001" s="85"/>
      <c r="Y1001" s="295"/>
      <c r="Z1001" s="1035"/>
      <c r="AA1001" s="1035"/>
      <c r="AB1001" s="1154"/>
      <c r="AC1001" s="917"/>
      <c r="AD1001" s="917"/>
      <c r="AE1001" s="1035"/>
      <c r="AF1001" s="243"/>
      <c r="AG1001" s="243"/>
      <c r="AH1001" s="1054"/>
      <c r="AI1001" s="1055"/>
      <c r="AJ1001" s="1055"/>
      <c r="AK1001" s="52"/>
      <c r="AL1001" s="1449"/>
      <c r="AM1001" s="1449"/>
      <c r="AN1001" s="1054" t="s">
        <v>35</v>
      </c>
      <c r="AO1001" s="1055">
        <v>3</v>
      </c>
      <c r="AP1001" s="1055" t="s">
        <v>8</v>
      </c>
      <c r="AQ1001" s="2057"/>
      <c r="AR1001" s="295"/>
      <c r="AS1001" s="293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</row>
    <row r="1002" spans="1:86" s="53" customFormat="1" ht="22.5" customHeight="1" x14ac:dyDescent="0.2">
      <c r="A1002" s="1393">
        <v>23</v>
      </c>
      <c r="B1002" s="1462">
        <v>2239522</v>
      </c>
      <c r="C1002" s="1343" t="s">
        <v>500</v>
      </c>
      <c r="D1002" s="1475">
        <v>1.5</v>
      </c>
      <c r="E1002" s="1462">
        <v>6000</v>
      </c>
      <c r="F1002" s="1475">
        <v>1.5</v>
      </c>
      <c r="G1002" s="1462">
        <v>6000</v>
      </c>
      <c r="H1002" s="1056"/>
      <c r="I1002" s="1056"/>
      <c r="J1002" s="1056"/>
      <c r="K1002" s="1056"/>
      <c r="L1002" s="1056"/>
      <c r="M1002" s="1056"/>
      <c r="N1002" s="1056"/>
      <c r="O1002" s="1056"/>
      <c r="P1002" s="1056"/>
      <c r="Q1002" s="1056"/>
      <c r="R1002" s="1056"/>
      <c r="S1002" s="296"/>
      <c r="T1002" s="294"/>
      <c r="U1002" s="294"/>
      <c r="V1002" s="294"/>
      <c r="W1002" s="84"/>
      <c r="X1002" s="85"/>
      <c r="Y1002" s="295"/>
      <c r="Z1002" s="937"/>
      <c r="AA1002" s="937"/>
      <c r="AB1002" s="1040"/>
      <c r="AC1002" s="1044"/>
      <c r="AD1002" s="1044"/>
      <c r="AE1002" s="937"/>
      <c r="AF1002" s="243"/>
      <c r="AG1002" s="243"/>
      <c r="AH1002" s="244"/>
      <c r="AI1002" s="242"/>
      <c r="AJ1002" s="1055"/>
      <c r="AK1002" s="245"/>
      <c r="AL1002" s="1447" t="s">
        <v>504</v>
      </c>
      <c r="AM1002" s="1447" t="s">
        <v>509</v>
      </c>
      <c r="AN1002" s="1456" t="s">
        <v>506</v>
      </c>
      <c r="AO1002" s="242">
        <v>1.5</v>
      </c>
      <c r="AP1002" s="1055" t="s">
        <v>2</v>
      </c>
      <c r="AQ1002" s="1442">
        <f>10845*2</f>
        <v>21690</v>
      </c>
      <c r="AR1002" s="1056"/>
      <c r="AS1002" s="293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</row>
    <row r="1003" spans="1:86" s="53" customFormat="1" ht="22.5" customHeight="1" x14ac:dyDescent="0.2">
      <c r="A1003" s="1394"/>
      <c r="B1003" s="1402"/>
      <c r="C1003" s="1531"/>
      <c r="D1003" s="1451"/>
      <c r="E1003" s="1402"/>
      <c r="F1003" s="1451"/>
      <c r="G1003" s="1402"/>
      <c r="H1003" s="1056"/>
      <c r="I1003" s="1056"/>
      <c r="J1003" s="1056"/>
      <c r="K1003" s="1056"/>
      <c r="L1003" s="1056"/>
      <c r="M1003" s="1056"/>
      <c r="N1003" s="1056"/>
      <c r="O1003" s="1056"/>
      <c r="P1003" s="1056"/>
      <c r="Q1003" s="1056"/>
      <c r="R1003" s="1056"/>
      <c r="S1003" s="296"/>
      <c r="T1003" s="294"/>
      <c r="U1003" s="294"/>
      <c r="V1003" s="294"/>
      <c r="W1003" s="84"/>
      <c r="X1003" s="85"/>
      <c r="Y1003" s="295"/>
      <c r="Z1003" s="1035"/>
      <c r="AA1003" s="1035"/>
      <c r="AB1003" s="1154"/>
      <c r="AC1003" s="917"/>
      <c r="AD1003" s="917"/>
      <c r="AE1003" s="1035"/>
      <c r="AF1003" s="243"/>
      <c r="AG1003" s="243"/>
      <c r="AH1003" s="244"/>
      <c r="AI1003" s="1055"/>
      <c r="AJ1003" s="1055"/>
      <c r="AK1003" s="245"/>
      <c r="AL1003" s="1448"/>
      <c r="AM1003" s="1448"/>
      <c r="AN1003" s="1479"/>
      <c r="AO1003" s="1055">
        <v>6000</v>
      </c>
      <c r="AP1003" s="1055" t="s">
        <v>507</v>
      </c>
      <c r="AQ1003" s="1443"/>
      <c r="AR1003" s="295"/>
      <c r="AS1003" s="293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</row>
    <row r="1004" spans="1:86" s="53" customFormat="1" ht="22.5" hidden="1" customHeight="1" x14ac:dyDescent="0.2">
      <c r="A1004" s="1026"/>
      <c r="B1004" s="1463"/>
      <c r="C1004" s="1532"/>
      <c r="D1004" s="1476"/>
      <c r="E1004" s="1463"/>
      <c r="F1004" s="1476"/>
      <c r="G1004" s="1463"/>
      <c r="H1004" s="1056"/>
      <c r="I1004" s="1056"/>
      <c r="J1004" s="1056"/>
      <c r="K1004" s="1056"/>
      <c r="L1004" s="1056"/>
      <c r="M1004" s="1056"/>
      <c r="N1004" s="1056"/>
      <c r="O1004" s="1056"/>
      <c r="P1004" s="1056"/>
      <c r="Q1004" s="1056"/>
      <c r="R1004" s="1056"/>
      <c r="S1004" s="296"/>
      <c r="T1004" s="294"/>
      <c r="U1004" s="294"/>
      <c r="V1004" s="294"/>
      <c r="W1004" s="84"/>
      <c r="X1004" s="85"/>
      <c r="Y1004" s="295"/>
      <c r="Z1004" s="1035"/>
      <c r="AA1004" s="1035"/>
      <c r="AB1004" s="1154"/>
      <c r="AC1004" s="917"/>
      <c r="AD1004" s="917"/>
      <c r="AE1004" s="1035"/>
      <c r="AF1004" s="243"/>
      <c r="AG1004" s="243"/>
      <c r="AH1004" s="1054"/>
      <c r="AI1004" s="1055"/>
      <c r="AJ1004" s="1055"/>
      <c r="AK1004" s="245"/>
      <c r="AL1004" s="1449"/>
      <c r="AM1004" s="1449"/>
      <c r="AN1004" s="1054" t="s">
        <v>35</v>
      </c>
      <c r="AO1004" s="1055">
        <v>3</v>
      </c>
      <c r="AP1004" s="1055" t="s">
        <v>8</v>
      </c>
      <c r="AQ1004" s="1444"/>
      <c r="AR1004" s="295"/>
      <c r="AS1004" s="293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</row>
    <row r="1005" spans="1:86" s="53" customFormat="1" ht="22.5" customHeight="1" x14ac:dyDescent="0.25">
      <c r="A1005" s="1393">
        <v>24</v>
      </c>
      <c r="B1005" s="1462">
        <v>2239740</v>
      </c>
      <c r="C1005" s="1343" t="s">
        <v>138</v>
      </c>
      <c r="D1005" s="1475">
        <v>1</v>
      </c>
      <c r="E1005" s="1462">
        <v>5000</v>
      </c>
      <c r="F1005" s="1475">
        <v>1</v>
      </c>
      <c r="G1005" s="1462">
        <v>5000</v>
      </c>
      <c r="H1005" s="1056"/>
      <c r="I1005" s="1056"/>
      <c r="J1005" s="1056"/>
      <c r="K1005" s="1056"/>
      <c r="L1005" s="1056"/>
      <c r="M1005" s="1056"/>
      <c r="N1005" s="1056"/>
      <c r="O1005" s="1056"/>
      <c r="P1005" s="1056"/>
      <c r="Q1005" s="1056"/>
      <c r="R1005" s="1056"/>
      <c r="S1005" s="296"/>
      <c r="T1005" s="294"/>
      <c r="U1005" s="294"/>
      <c r="V1005" s="294"/>
      <c r="W1005" s="84"/>
      <c r="X1005" s="85"/>
      <c r="Y1005" s="295"/>
      <c r="Z1005" s="1302" t="s">
        <v>441</v>
      </c>
      <c r="AA1005" s="1302" t="s">
        <v>1082</v>
      </c>
      <c r="AB1005" s="1302" t="s">
        <v>506</v>
      </c>
      <c r="AC1005" s="800">
        <v>1.07</v>
      </c>
      <c r="AD1005" s="37" t="s">
        <v>2</v>
      </c>
      <c r="AE1005" s="1731">
        <v>14389.25814</v>
      </c>
      <c r="AF1005" s="45"/>
      <c r="AG1005" s="45"/>
      <c r="AH1005" s="45"/>
      <c r="AI1005" s="800"/>
      <c r="AJ1005" s="37"/>
      <c r="AK1005" s="253"/>
      <c r="AL1005" s="45"/>
      <c r="AM1005" s="45"/>
      <c r="AN1005" s="45"/>
      <c r="AO1005" s="800"/>
      <c r="AP1005" s="37"/>
      <c r="AQ1005" s="751"/>
      <c r="AR1005" s="295"/>
      <c r="AS1005" s="293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</row>
    <row r="1006" spans="1:86" s="53" customFormat="1" ht="22.5" customHeight="1" x14ac:dyDescent="0.25">
      <c r="A1006" s="1394"/>
      <c r="B1006" s="1463"/>
      <c r="C1006" s="1532"/>
      <c r="D1006" s="1476"/>
      <c r="E1006" s="1463"/>
      <c r="F1006" s="1476"/>
      <c r="G1006" s="1463"/>
      <c r="H1006" s="1056"/>
      <c r="I1006" s="1056"/>
      <c r="J1006" s="1056"/>
      <c r="K1006" s="1056"/>
      <c r="L1006" s="1056"/>
      <c r="M1006" s="1056"/>
      <c r="N1006" s="1056"/>
      <c r="O1006" s="1056"/>
      <c r="P1006" s="1056"/>
      <c r="Q1006" s="1056"/>
      <c r="R1006" s="1056"/>
      <c r="S1006" s="296"/>
      <c r="T1006" s="294"/>
      <c r="U1006" s="294"/>
      <c r="V1006" s="294"/>
      <c r="W1006" s="84"/>
      <c r="X1006" s="85"/>
      <c r="Y1006" s="295"/>
      <c r="Z1006" s="1457"/>
      <c r="AA1006" s="1457"/>
      <c r="AB1006" s="1457"/>
      <c r="AC1006" s="1051">
        <v>5000</v>
      </c>
      <c r="AD1006" s="37" t="s">
        <v>507</v>
      </c>
      <c r="AE1006" s="1733"/>
      <c r="AF1006" s="49"/>
      <c r="AG1006" s="49"/>
      <c r="AH1006" s="49"/>
      <c r="AI1006" s="1051"/>
      <c r="AJ1006" s="37"/>
      <c r="AK1006" s="254"/>
      <c r="AL1006" s="49"/>
      <c r="AM1006" s="49"/>
      <c r="AN1006" s="49"/>
      <c r="AO1006" s="1051"/>
      <c r="AP1006" s="37"/>
      <c r="AQ1006" s="752"/>
      <c r="AR1006" s="295"/>
      <c r="AS1006" s="293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</row>
    <row r="1007" spans="1:86" s="53" customFormat="1" ht="22.5" customHeight="1" x14ac:dyDescent="0.25">
      <c r="A1007" s="1393">
        <v>25</v>
      </c>
      <c r="B1007" s="1462">
        <v>2243831</v>
      </c>
      <c r="C1007" s="1343" t="s">
        <v>139</v>
      </c>
      <c r="D1007" s="1475">
        <v>1</v>
      </c>
      <c r="E1007" s="1462">
        <v>5000</v>
      </c>
      <c r="F1007" s="1475">
        <v>0.5</v>
      </c>
      <c r="G1007" s="1462">
        <v>2500</v>
      </c>
      <c r="H1007" s="1056"/>
      <c r="I1007" s="1056"/>
      <c r="J1007" s="1056"/>
      <c r="K1007" s="1056"/>
      <c r="L1007" s="1056"/>
      <c r="M1007" s="1056"/>
      <c r="N1007" s="1056"/>
      <c r="O1007" s="1056"/>
      <c r="P1007" s="1056"/>
      <c r="Q1007" s="1056"/>
      <c r="R1007" s="1056"/>
      <c r="S1007" s="296"/>
      <c r="T1007" s="294"/>
      <c r="U1007" s="294"/>
      <c r="V1007" s="294"/>
      <c r="W1007" s="84"/>
      <c r="X1007" s="85"/>
      <c r="Y1007" s="295"/>
      <c r="Z1007" s="1035"/>
      <c r="AA1007" s="1035"/>
      <c r="AB1007" s="1154"/>
      <c r="AC1007" s="917"/>
      <c r="AD1007" s="917"/>
      <c r="AE1007" s="1035"/>
      <c r="AF1007" s="1302" t="s">
        <v>504</v>
      </c>
      <c r="AG1007" s="1302" t="s">
        <v>546</v>
      </c>
      <c r="AH1007" s="1302" t="s">
        <v>506</v>
      </c>
      <c r="AI1007" s="800">
        <v>1</v>
      </c>
      <c r="AJ1007" s="37" t="s">
        <v>2</v>
      </c>
      <c r="AK1007" s="1731">
        <v>5000</v>
      </c>
      <c r="AL1007" s="45"/>
      <c r="AM1007" s="45"/>
      <c r="AN1007" s="45"/>
      <c r="AO1007" s="800"/>
      <c r="AP1007" s="37"/>
      <c r="AQ1007" s="751"/>
      <c r="AR1007" s="295"/>
      <c r="AS1007" s="293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</row>
    <row r="1008" spans="1:86" s="53" customFormat="1" ht="22.5" customHeight="1" x14ac:dyDescent="0.25">
      <c r="A1008" s="1394"/>
      <c r="B1008" s="1463"/>
      <c r="C1008" s="1532"/>
      <c r="D1008" s="1476"/>
      <c r="E1008" s="1463"/>
      <c r="F1008" s="1476"/>
      <c r="G1008" s="1463"/>
      <c r="H1008" s="1056"/>
      <c r="I1008" s="1056"/>
      <c r="J1008" s="1056"/>
      <c r="K1008" s="1056"/>
      <c r="L1008" s="1056"/>
      <c r="M1008" s="1056"/>
      <c r="N1008" s="1056"/>
      <c r="O1008" s="1056"/>
      <c r="P1008" s="1056"/>
      <c r="Q1008" s="1056"/>
      <c r="R1008" s="1056"/>
      <c r="S1008" s="296"/>
      <c r="T1008" s="294"/>
      <c r="U1008" s="294"/>
      <c r="V1008" s="294"/>
      <c r="W1008" s="84"/>
      <c r="X1008" s="85"/>
      <c r="Y1008" s="295"/>
      <c r="Z1008" s="1035"/>
      <c r="AA1008" s="1035"/>
      <c r="AB1008" s="1154"/>
      <c r="AC1008" s="917"/>
      <c r="AD1008" s="917"/>
      <c r="AE1008" s="1035"/>
      <c r="AF1008" s="1457"/>
      <c r="AG1008" s="1457"/>
      <c r="AH1008" s="1457"/>
      <c r="AI1008" s="1051">
        <v>5000</v>
      </c>
      <c r="AJ1008" s="37" t="s">
        <v>507</v>
      </c>
      <c r="AK1008" s="1733"/>
      <c r="AL1008" s="49"/>
      <c r="AM1008" s="49"/>
      <c r="AN1008" s="49"/>
      <c r="AO1008" s="1051"/>
      <c r="AP1008" s="37"/>
      <c r="AQ1008" s="752"/>
      <c r="AR1008" s="295"/>
      <c r="AS1008" s="293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</row>
    <row r="1009" spans="1:86" s="53" customFormat="1" ht="22.5" hidden="1" customHeight="1" x14ac:dyDescent="0.25">
      <c r="A1009" s="1393">
        <v>35</v>
      </c>
      <c r="B1009" s="1447">
        <v>2246168</v>
      </c>
      <c r="C1009" s="1343" t="s">
        <v>663</v>
      </c>
      <c r="D1009" s="1459">
        <v>0.2</v>
      </c>
      <c r="E1009" s="1447">
        <v>800</v>
      </c>
      <c r="F1009" s="1459">
        <v>0.2</v>
      </c>
      <c r="G1009" s="1447">
        <v>800</v>
      </c>
      <c r="H1009" s="1056"/>
      <c r="I1009" s="1056"/>
      <c r="J1009" s="1056"/>
      <c r="K1009" s="1056"/>
      <c r="L1009" s="1056"/>
      <c r="M1009" s="1056"/>
      <c r="N1009" s="1056"/>
      <c r="O1009" s="1056"/>
      <c r="P1009" s="1056"/>
      <c r="Q1009" s="1056"/>
      <c r="R1009" s="1056"/>
      <c r="S1009" s="296"/>
      <c r="T1009" s="294"/>
      <c r="U1009" s="294"/>
      <c r="V1009" s="294"/>
      <c r="W1009" s="84"/>
      <c r="X1009" s="85"/>
      <c r="Y1009" s="295"/>
      <c r="Z1009" s="1035"/>
      <c r="AA1009" s="1035"/>
      <c r="AB1009" s="1154"/>
      <c r="AC1009" s="917"/>
      <c r="AD1009" s="917"/>
      <c r="AE1009" s="1035"/>
      <c r="AF1009" s="49"/>
      <c r="AG1009" s="49"/>
      <c r="AH1009" s="49"/>
      <c r="AI1009" s="1051"/>
      <c r="AJ1009" s="37"/>
      <c r="AK1009" s="254"/>
      <c r="AL1009" s="1447" t="s">
        <v>504</v>
      </c>
      <c r="AM1009" s="1447" t="s">
        <v>664</v>
      </c>
      <c r="AN1009" s="1359" t="s">
        <v>506</v>
      </c>
      <c r="AO1009" s="54"/>
      <c r="AP1009" s="37" t="s">
        <v>2</v>
      </c>
      <c r="AQ1009" s="1731"/>
      <c r="AR1009" s="295"/>
      <c r="AS1009" s="293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</row>
    <row r="1010" spans="1:86" s="53" customFormat="1" ht="22.5" hidden="1" customHeight="1" x14ac:dyDescent="0.25">
      <c r="A1010" s="1394"/>
      <c r="B1010" s="1448"/>
      <c r="C1010" s="1839"/>
      <c r="D1010" s="1460"/>
      <c r="E1010" s="1448"/>
      <c r="F1010" s="1460"/>
      <c r="G1010" s="1448"/>
      <c r="H1010" s="1056"/>
      <c r="I1010" s="1056"/>
      <c r="J1010" s="1056"/>
      <c r="K1010" s="1056"/>
      <c r="L1010" s="1056"/>
      <c r="M1010" s="1056"/>
      <c r="N1010" s="1056"/>
      <c r="O1010" s="1056"/>
      <c r="P1010" s="1056"/>
      <c r="Q1010" s="1056"/>
      <c r="R1010" s="1056"/>
      <c r="S1010" s="296"/>
      <c r="T1010" s="294"/>
      <c r="U1010" s="294"/>
      <c r="V1010" s="294"/>
      <c r="W1010" s="84"/>
      <c r="X1010" s="85"/>
      <c r="Y1010" s="295"/>
      <c r="Z1010" s="1035"/>
      <c r="AA1010" s="1035"/>
      <c r="AB1010" s="1154"/>
      <c r="AC1010" s="917"/>
      <c r="AD1010" s="917"/>
      <c r="AE1010" s="1035"/>
      <c r="AF1010" s="49"/>
      <c r="AG1010" s="49"/>
      <c r="AH1010" s="49"/>
      <c r="AI1010" s="1051"/>
      <c r="AJ1010" s="37"/>
      <c r="AK1010" s="254"/>
      <c r="AL1010" s="1448"/>
      <c r="AM1010" s="1448"/>
      <c r="AN1010" s="1734"/>
      <c r="AO1010" s="37"/>
      <c r="AP1010" s="37" t="s">
        <v>507</v>
      </c>
      <c r="AQ1010" s="1732"/>
      <c r="AR1010" s="295"/>
      <c r="AS1010" s="293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</row>
    <row r="1011" spans="1:86" s="53" customFormat="1" ht="22.5" hidden="1" customHeight="1" x14ac:dyDescent="0.25">
      <c r="A1011" s="1026"/>
      <c r="B1011" s="1449"/>
      <c r="C1011" s="1840"/>
      <c r="D1011" s="1461"/>
      <c r="E1011" s="1449"/>
      <c r="F1011" s="1461"/>
      <c r="G1011" s="1449"/>
      <c r="H1011" s="1056"/>
      <c r="I1011" s="1056"/>
      <c r="J1011" s="1056"/>
      <c r="K1011" s="1056"/>
      <c r="L1011" s="1056"/>
      <c r="M1011" s="1056"/>
      <c r="N1011" s="1056"/>
      <c r="O1011" s="1056"/>
      <c r="P1011" s="1056"/>
      <c r="Q1011" s="1056"/>
      <c r="R1011" s="1056"/>
      <c r="S1011" s="296"/>
      <c r="T1011" s="294"/>
      <c r="U1011" s="294"/>
      <c r="V1011" s="294"/>
      <c r="W1011" s="84"/>
      <c r="X1011" s="85"/>
      <c r="Y1011" s="295"/>
      <c r="Z1011" s="1035"/>
      <c r="AA1011" s="1035"/>
      <c r="AB1011" s="1154"/>
      <c r="AC1011" s="917"/>
      <c r="AD1011" s="917"/>
      <c r="AE1011" s="1035"/>
      <c r="AF1011" s="49"/>
      <c r="AG1011" s="49"/>
      <c r="AH1011" s="49"/>
      <c r="AI1011" s="1051"/>
      <c r="AJ1011" s="37"/>
      <c r="AK1011" s="254"/>
      <c r="AL1011" s="1449"/>
      <c r="AM1011" s="1449"/>
      <c r="AN1011" s="37" t="s">
        <v>35</v>
      </c>
      <c r="AO1011" s="37">
        <v>6</v>
      </c>
      <c r="AP1011" s="37" t="s">
        <v>8</v>
      </c>
      <c r="AQ1011" s="1733"/>
      <c r="AR1011" s="295"/>
      <c r="AS1011" s="293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  <c r="CA1011" s="25"/>
      <c r="CB1011" s="25"/>
      <c r="CC1011" s="25"/>
      <c r="CD1011" s="25"/>
      <c r="CE1011" s="25"/>
      <c r="CF1011" s="25"/>
      <c r="CG1011" s="25"/>
      <c r="CH1011" s="25"/>
    </row>
    <row r="1012" spans="1:86" s="53" customFormat="1" ht="22.5" hidden="1" customHeight="1" x14ac:dyDescent="0.25">
      <c r="A1012" s="1026"/>
      <c r="B1012" s="1462">
        <v>2243964</v>
      </c>
      <c r="C1012" s="1343" t="s">
        <v>141</v>
      </c>
      <c r="D1012" s="1475">
        <v>0.6</v>
      </c>
      <c r="E1012" s="1462">
        <v>3000</v>
      </c>
      <c r="F1012" s="1475">
        <v>0.6</v>
      </c>
      <c r="G1012" s="1462">
        <v>3000</v>
      </c>
      <c r="H1012" s="1056"/>
      <c r="I1012" s="1056"/>
      <c r="J1012" s="1056"/>
      <c r="K1012" s="1056"/>
      <c r="L1012" s="1056"/>
      <c r="M1012" s="1056"/>
      <c r="N1012" s="1056"/>
      <c r="O1012" s="1056"/>
      <c r="P1012" s="1056"/>
      <c r="Q1012" s="1056"/>
      <c r="R1012" s="1056"/>
      <c r="S1012" s="296"/>
      <c r="T1012" s="294"/>
      <c r="U1012" s="294"/>
      <c r="V1012" s="294"/>
      <c r="W1012" s="84"/>
      <c r="X1012" s="85"/>
      <c r="Y1012" s="295"/>
      <c r="Z1012" s="1035"/>
      <c r="AA1012" s="1035"/>
      <c r="AB1012" s="1154"/>
      <c r="AC1012" s="917"/>
      <c r="AD1012" s="917"/>
      <c r="AE1012" s="1035"/>
      <c r="AF1012" s="45"/>
      <c r="AG1012" s="45"/>
      <c r="AH1012" s="45"/>
      <c r="AI1012" s="800"/>
      <c r="AJ1012" s="37"/>
      <c r="AK1012" s="253"/>
      <c r="AL1012" s="1302" t="s">
        <v>504</v>
      </c>
      <c r="AM1012" s="1302" t="s">
        <v>547</v>
      </c>
      <c r="AN1012" s="1302" t="s">
        <v>506</v>
      </c>
      <c r="AO1012" s="800">
        <v>0.6</v>
      </c>
      <c r="AP1012" s="37" t="s">
        <v>2</v>
      </c>
      <c r="AQ1012" s="1731">
        <v>1830</v>
      </c>
      <c r="AR1012" s="295"/>
      <c r="AS1012" s="293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</row>
    <row r="1013" spans="1:86" s="53" customFormat="1" ht="22.5" hidden="1" customHeight="1" x14ac:dyDescent="0.25">
      <c r="A1013" s="1026"/>
      <c r="B1013" s="1402"/>
      <c r="C1013" s="1531"/>
      <c r="D1013" s="1451"/>
      <c r="E1013" s="1402"/>
      <c r="F1013" s="1451"/>
      <c r="G1013" s="1402"/>
      <c r="H1013" s="1056"/>
      <c r="I1013" s="1056"/>
      <c r="J1013" s="1056"/>
      <c r="K1013" s="1056"/>
      <c r="L1013" s="1056"/>
      <c r="M1013" s="1056"/>
      <c r="N1013" s="1056"/>
      <c r="O1013" s="1056"/>
      <c r="P1013" s="1056"/>
      <c r="Q1013" s="1056"/>
      <c r="R1013" s="1056"/>
      <c r="S1013" s="296"/>
      <c r="T1013" s="294"/>
      <c r="U1013" s="294"/>
      <c r="V1013" s="294"/>
      <c r="W1013" s="84"/>
      <c r="X1013" s="85"/>
      <c r="Y1013" s="295"/>
      <c r="Z1013" s="1035"/>
      <c r="AA1013" s="1035"/>
      <c r="AB1013" s="1154"/>
      <c r="AC1013" s="917"/>
      <c r="AD1013" s="917"/>
      <c r="AE1013" s="1035"/>
      <c r="AF1013" s="45"/>
      <c r="AG1013" s="49"/>
      <c r="AH1013" s="49"/>
      <c r="AI1013" s="1051"/>
      <c r="AJ1013" s="37"/>
      <c r="AK1013" s="254"/>
      <c r="AL1013" s="1267"/>
      <c r="AM1013" s="1458"/>
      <c r="AN1013" s="1457"/>
      <c r="AO1013" s="1051">
        <v>3000</v>
      </c>
      <c r="AP1013" s="37" t="s">
        <v>507</v>
      </c>
      <c r="AQ1013" s="1732"/>
      <c r="AR1013" s="295"/>
      <c r="AS1013" s="293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  <c r="CA1013" s="25"/>
      <c r="CB1013" s="25"/>
      <c r="CC1013" s="25"/>
      <c r="CD1013" s="25"/>
      <c r="CE1013" s="25"/>
      <c r="CF1013" s="25"/>
      <c r="CG1013" s="25"/>
      <c r="CH1013" s="25"/>
    </row>
    <row r="1014" spans="1:86" s="53" customFormat="1" ht="22.5" hidden="1" customHeight="1" x14ac:dyDescent="0.25">
      <c r="A1014" s="1026"/>
      <c r="B1014" s="1463"/>
      <c r="C1014" s="1532"/>
      <c r="D1014" s="1476"/>
      <c r="E1014" s="1463"/>
      <c r="F1014" s="1476"/>
      <c r="G1014" s="1463"/>
      <c r="H1014" s="1056"/>
      <c r="I1014" s="1056"/>
      <c r="J1014" s="1056"/>
      <c r="K1014" s="1056"/>
      <c r="L1014" s="1056"/>
      <c r="M1014" s="1056"/>
      <c r="N1014" s="1056"/>
      <c r="O1014" s="1056"/>
      <c r="P1014" s="1056"/>
      <c r="Q1014" s="1056"/>
      <c r="R1014" s="1056"/>
      <c r="S1014" s="296"/>
      <c r="T1014" s="294"/>
      <c r="U1014" s="294"/>
      <c r="V1014" s="294"/>
      <c r="W1014" s="84"/>
      <c r="X1014" s="85"/>
      <c r="Y1014" s="295"/>
      <c r="Z1014" s="1035"/>
      <c r="AA1014" s="1035"/>
      <c r="AB1014" s="1154"/>
      <c r="AC1014" s="917"/>
      <c r="AD1014" s="917"/>
      <c r="AE1014" s="1035"/>
      <c r="AF1014" s="45"/>
      <c r="AG1014" s="49"/>
      <c r="AH1014" s="1051"/>
      <c r="AI1014" s="1051"/>
      <c r="AJ1014" s="37"/>
      <c r="AK1014" s="254"/>
      <c r="AL1014" s="1293"/>
      <c r="AM1014" s="1457"/>
      <c r="AN1014" s="1051" t="s">
        <v>35</v>
      </c>
      <c r="AO1014" s="1051">
        <v>6</v>
      </c>
      <c r="AP1014" s="37" t="s">
        <v>8</v>
      </c>
      <c r="AQ1014" s="1733"/>
      <c r="AR1014" s="295"/>
      <c r="AS1014" s="293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</row>
    <row r="1015" spans="1:86" s="53" customFormat="1" ht="22.5" hidden="1" customHeight="1" x14ac:dyDescent="0.25">
      <c r="A1015" s="1393">
        <v>21</v>
      </c>
      <c r="B1015" s="1462">
        <v>2242838</v>
      </c>
      <c r="C1015" s="1343" t="s">
        <v>144</v>
      </c>
      <c r="D1015" s="1475">
        <v>0.8</v>
      </c>
      <c r="E1015" s="1462">
        <v>4000</v>
      </c>
      <c r="F1015" s="1475">
        <v>0.8</v>
      </c>
      <c r="G1015" s="1462">
        <v>4500</v>
      </c>
      <c r="H1015" s="1056"/>
      <c r="I1015" s="1056"/>
      <c r="J1015" s="1056"/>
      <c r="K1015" s="1056"/>
      <c r="L1015" s="1056"/>
      <c r="M1015" s="1056"/>
      <c r="N1015" s="1056"/>
      <c r="O1015" s="1056"/>
      <c r="P1015" s="1056"/>
      <c r="Q1015" s="1056"/>
      <c r="R1015" s="1056"/>
      <c r="S1015" s="296"/>
      <c r="T1015" s="294"/>
      <c r="U1015" s="294"/>
      <c r="V1015" s="294"/>
      <c r="W1015" s="84"/>
      <c r="X1015" s="85"/>
      <c r="Y1015" s="295"/>
      <c r="Z1015" s="1035"/>
      <c r="AA1015" s="1035"/>
      <c r="AB1015" s="1154"/>
      <c r="AC1015" s="917"/>
      <c r="AD1015" s="917"/>
      <c r="AE1015" s="1035"/>
      <c r="AF1015" s="45"/>
      <c r="AG1015" s="45"/>
      <c r="AH1015" s="45"/>
      <c r="AI1015" s="800"/>
      <c r="AJ1015" s="37"/>
      <c r="AK1015" s="253"/>
      <c r="AL1015" s="1302" t="s">
        <v>504</v>
      </c>
      <c r="AM1015" s="1302" t="s">
        <v>551</v>
      </c>
      <c r="AN1015" s="1302" t="s">
        <v>506</v>
      </c>
      <c r="AO1015" s="800"/>
      <c r="AP1015" s="37" t="s">
        <v>2</v>
      </c>
      <c r="AQ1015" s="1731">
        <f>AO1015*3000*2</f>
        <v>0</v>
      </c>
      <c r="AR1015" s="1056"/>
      <c r="AS1015" s="293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</row>
    <row r="1016" spans="1:86" s="53" customFormat="1" ht="22.5" hidden="1" customHeight="1" x14ac:dyDescent="0.25">
      <c r="A1016" s="1394"/>
      <c r="B1016" s="1402"/>
      <c r="C1016" s="1531"/>
      <c r="D1016" s="1451"/>
      <c r="E1016" s="1402"/>
      <c r="F1016" s="1451"/>
      <c r="G1016" s="1402"/>
      <c r="H1016" s="1056"/>
      <c r="I1016" s="1056"/>
      <c r="J1016" s="1056"/>
      <c r="K1016" s="1056"/>
      <c r="L1016" s="1056"/>
      <c r="M1016" s="1056"/>
      <c r="N1016" s="1056"/>
      <c r="O1016" s="1056"/>
      <c r="P1016" s="1056"/>
      <c r="Q1016" s="1056"/>
      <c r="R1016" s="1056"/>
      <c r="S1016" s="296"/>
      <c r="T1016" s="294"/>
      <c r="U1016" s="294"/>
      <c r="V1016" s="294"/>
      <c r="W1016" s="84"/>
      <c r="X1016" s="85"/>
      <c r="Y1016" s="295"/>
      <c r="Z1016" s="1035"/>
      <c r="AA1016" s="1035"/>
      <c r="AB1016" s="1154"/>
      <c r="AC1016" s="917"/>
      <c r="AD1016" s="917"/>
      <c r="AE1016" s="1035"/>
      <c r="AF1016" s="45"/>
      <c r="AG1016" s="49"/>
      <c r="AH1016" s="49"/>
      <c r="AI1016" s="1051"/>
      <c r="AJ1016" s="37"/>
      <c r="AK1016" s="254"/>
      <c r="AL1016" s="1267"/>
      <c r="AM1016" s="1458"/>
      <c r="AN1016" s="1457"/>
      <c r="AO1016" s="1051"/>
      <c r="AP1016" s="37" t="s">
        <v>507</v>
      </c>
      <c r="AQ1016" s="1732"/>
      <c r="AR1016" s="295"/>
      <c r="AS1016" s="293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</row>
    <row r="1017" spans="1:86" s="53" customFormat="1" ht="22.5" hidden="1" customHeight="1" x14ac:dyDescent="0.25">
      <c r="A1017" s="1026"/>
      <c r="B1017" s="1463"/>
      <c r="C1017" s="1532"/>
      <c r="D1017" s="1476"/>
      <c r="E1017" s="1463"/>
      <c r="F1017" s="1476"/>
      <c r="G1017" s="1463"/>
      <c r="H1017" s="1056"/>
      <c r="I1017" s="1056"/>
      <c r="J1017" s="1056"/>
      <c r="K1017" s="1056"/>
      <c r="L1017" s="1056"/>
      <c r="M1017" s="1056"/>
      <c r="N1017" s="1056"/>
      <c r="O1017" s="1056"/>
      <c r="P1017" s="1056"/>
      <c r="Q1017" s="1056"/>
      <c r="R1017" s="1056"/>
      <c r="S1017" s="296"/>
      <c r="T1017" s="294"/>
      <c r="U1017" s="294"/>
      <c r="V1017" s="294"/>
      <c r="W1017" s="84"/>
      <c r="X1017" s="85"/>
      <c r="Y1017" s="295"/>
      <c r="Z1017" s="1035"/>
      <c r="AA1017" s="1035"/>
      <c r="AB1017" s="1154"/>
      <c r="AC1017" s="917"/>
      <c r="AD1017" s="917"/>
      <c r="AE1017" s="1035"/>
      <c r="AF1017" s="45"/>
      <c r="AG1017" s="49"/>
      <c r="AH1017" s="1051"/>
      <c r="AI1017" s="1051"/>
      <c r="AJ1017" s="37"/>
      <c r="AK1017" s="254"/>
      <c r="AL1017" s="1293"/>
      <c r="AM1017" s="1457"/>
      <c r="AN1017" s="1051" t="s">
        <v>35</v>
      </c>
      <c r="AO1017" s="1051">
        <v>6</v>
      </c>
      <c r="AP1017" s="37" t="s">
        <v>507</v>
      </c>
      <c r="AQ1017" s="1733"/>
      <c r="AR1017" s="295"/>
      <c r="AS1017" s="293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</row>
    <row r="1018" spans="1:86" s="53" customFormat="1" ht="22.5" hidden="1" customHeight="1" x14ac:dyDescent="0.25">
      <c r="A1018" s="1393">
        <v>22</v>
      </c>
      <c r="B1018" s="1462">
        <v>2239776</v>
      </c>
      <c r="C1018" s="1343" t="s">
        <v>145</v>
      </c>
      <c r="D1018" s="1475">
        <v>0.6</v>
      </c>
      <c r="E1018" s="1462">
        <v>3000</v>
      </c>
      <c r="F1018" s="1475">
        <v>0.6</v>
      </c>
      <c r="G1018" s="1462">
        <v>3000</v>
      </c>
      <c r="H1018" s="1056"/>
      <c r="I1018" s="1056"/>
      <c r="J1018" s="1056"/>
      <c r="K1018" s="1056"/>
      <c r="L1018" s="1056"/>
      <c r="M1018" s="1056"/>
      <c r="N1018" s="1056"/>
      <c r="O1018" s="1056"/>
      <c r="P1018" s="1056"/>
      <c r="Q1018" s="1056"/>
      <c r="R1018" s="1056"/>
      <c r="S1018" s="296"/>
      <c r="T1018" s="294"/>
      <c r="U1018" s="294"/>
      <c r="V1018" s="294"/>
      <c r="W1018" s="84"/>
      <c r="X1018" s="85"/>
      <c r="Y1018" s="295"/>
      <c r="Z1018" s="1035"/>
      <c r="AA1018" s="1035"/>
      <c r="AB1018" s="1154"/>
      <c r="AC1018" s="917"/>
      <c r="AD1018" s="917"/>
      <c r="AE1018" s="1035"/>
      <c r="AF1018" s="45"/>
      <c r="AG1018" s="45"/>
      <c r="AH1018" s="45"/>
      <c r="AI1018" s="800"/>
      <c r="AJ1018" s="37"/>
      <c r="AK1018" s="253"/>
      <c r="AL1018" s="1302" t="s">
        <v>504</v>
      </c>
      <c r="AM1018" s="1302" t="s">
        <v>547</v>
      </c>
      <c r="AN1018" s="1302" t="s">
        <v>506</v>
      </c>
      <c r="AO1018" s="800"/>
      <c r="AP1018" s="37" t="s">
        <v>2</v>
      </c>
      <c r="AQ1018" s="1731"/>
      <c r="AR1018" s="1056"/>
      <c r="AS1018" s="293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</row>
    <row r="1019" spans="1:86" s="53" customFormat="1" ht="22.5" hidden="1" customHeight="1" x14ac:dyDescent="0.25">
      <c r="A1019" s="1394"/>
      <c r="B1019" s="1402"/>
      <c r="C1019" s="1531"/>
      <c r="D1019" s="1451"/>
      <c r="E1019" s="1402"/>
      <c r="F1019" s="1451"/>
      <c r="G1019" s="1402"/>
      <c r="H1019" s="1056"/>
      <c r="I1019" s="1056"/>
      <c r="J1019" s="1056"/>
      <c r="K1019" s="1056"/>
      <c r="L1019" s="1056"/>
      <c r="M1019" s="1056"/>
      <c r="N1019" s="1056"/>
      <c r="O1019" s="1056"/>
      <c r="P1019" s="1056"/>
      <c r="Q1019" s="1056"/>
      <c r="R1019" s="1056"/>
      <c r="S1019" s="296"/>
      <c r="T1019" s="294"/>
      <c r="U1019" s="294"/>
      <c r="V1019" s="294"/>
      <c r="W1019" s="84"/>
      <c r="X1019" s="85"/>
      <c r="Y1019" s="295"/>
      <c r="Z1019" s="1035"/>
      <c r="AA1019" s="1035"/>
      <c r="AB1019" s="1154"/>
      <c r="AC1019" s="917"/>
      <c r="AD1019" s="917"/>
      <c r="AE1019" s="1035"/>
      <c r="AF1019" s="45"/>
      <c r="AG1019" s="49"/>
      <c r="AH1019" s="49"/>
      <c r="AI1019" s="1051"/>
      <c r="AJ1019" s="37"/>
      <c r="AK1019" s="254"/>
      <c r="AL1019" s="1267"/>
      <c r="AM1019" s="1458"/>
      <c r="AN1019" s="1457"/>
      <c r="AO1019" s="1051"/>
      <c r="AP1019" s="37" t="s">
        <v>507</v>
      </c>
      <c r="AQ1019" s="1732"/>
      <c r="AR1019" s="295"/>
      <c r="AS1019" s="293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</row>
    <row r="1020" spans="1:86" s="53" customFormat="1" ht="22.5" hidden="1" customHeight="1" x14ac:dyDescent="0.25">
      <c r="A1020" s="1026"/>
      <c r="B1020" s="1463"/>
      <c r="C1020" s="1532"/>
      <c r="D1020" s="1476"/>
      <c r="E1020" s="1463"/>
      <c r="F1020" s="1476"/>
      <c r="G1020" s="1463"/>
      <c r="H1020" s="1056"/>
      <c r="I1020" s="1056"/>
      <c r="J1020" s="1056"/>
      <c r="K1020" s="1056"/>
      <c r="L1020" s="1056"/>
      <c r="M1020" s="1056"/>
      <c r="N1020" s="1056"/>
      <c r="O1020" s="1056"/>
      <c r="P1020" s="1056"/>
      <c r="Q1020" s="1056"/>
      <c r="R1020" s="1056"/>
      <c r="S1020" s="296"/>
      <c r="T1020" s="294"/>
      <c r="U1020" s="294"/>
      <c r="V1020" s="294"/>
      <c r="W1020" s="84"/>
      <c r="X1020" s="85"/>
      <c r="Y1020" s="295"/>
      <c r="Z1020" s="1035"/>
      <c r="AA1020" s="1035"/>
      <c r="AB1020" s="1154"/>
      <c r="AC1020" s="917"/>
      <c r="AD1020" s="917"/>
      <c r="AE1020" s="1035"/>
      <c r="AF1020" s="45"/>
      <c r="AG1020" s="49"/>
      <c r="AH1020" s="1051"/>
      <c r="AI1020" s="1051"/>
      <c r="AJ1020" s="37"/>
      <c r="AK1020" s="254"/>
      <c r="AL1020" s="1293"/>
      <c r="AM1020" s="1457"/>
      <c r="AN1020" s="1051" t="s">
        <v>35</v>
      </c>
      <c r="AO1020" s="1051">
        <v>14</v>
      </c>
      <c r="AP1020" s="37" t="s">
        <v>8</v>
      </c>
      <c r="AQ1020" s="1733"/>
      <c r="AR1020" s="295"/>
      <c r="AS1020" s="293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</row>
    <row r="1021" spans="1:86" s="53" customFormat="1" ht="22.5" customHeight="1" x14ac:dyDescent="0.2">
      <c r="A1021" s="1393">
        <v>26</v>
      </c>
      <c r="B1021" s="1462">
        <v>2242457</v>
      </c>
      <c r="C1021" s="1343" t="s">
        <v>146</v>
      </c>
      <c r="D1021" s="1475">
        <v>0.5</v>
      </c>
      <c r="E1021" s="1462">
        <v>2500</v>
      </c>
      <c r="F1021" s="1475">
        <v>0.5</v>
      </c>
      <c r="G1021" s="1462">
        <v>2500</v>
      </c>
      <c r="H1021" s="1056"/>
      <c r="I1021" s="1056"/>
      <c r="J1021" s="1056"/>
      <c r="K1021" s="1056"/>
      <c r="L1021" s="1056"/>
      <c r="M1021" s="1056"/>
      <c r="N1021" s="1056"/>
      <c r="O1021" s="1056"/>
      <c r="P1021" s="1056"/>
      <c r="Q1021" s="1056"/>
      <c r="R1021" s="1056"/>
      <c r="S1021" s="296"/>
      <c r="T1021" s="294"/>
      <c r="U1021" s="294"/>
      <c r="V1021" s="294"/>
      <c r="W1021" s="84"/>
      <c r="X1021" s="85"/>
      <c r="Y1021" s="295"/>
      <c r="Z1021" s="1035"/>
      <c r="AA1021" s="1035"/>
      <c r="AB1021" s="1154"/>
      <c r="AC1021" s="917"/>
      <c r="AD1021" s="917"/>
      <c r="AE1021" s="1035"/>
      <c r="AF1021" s="243"/>
      <c r="AG1021" s="243"/>
      <c r="AH1021" s="244"/>
      <c r="AI1021" s="242"/>
      <c r="AJ1021" s="1055"/>
      <c r="AK1021" s="245"/>
      <c r="AL1021" s="1447" t="s">
        <v>504</v>
      </c>
      <c r="AM1021" s="1447" t="s">
        <v>546</v>
      </c>
      <c r="AN1021" s="1456" t="s">
        <v>506</v>
      </c>
      <c r="AO1021" s="242">
        <v>0.5</v>
      </c>
      <c r="AP1021" s="1055" t="s">
        <v>2</v>
      </c>
      <c r="AQ1021" s="1442">
        <v>6000</v>
      </c>
      <c r="AR1021" s="1056"/>
      <c r="AS1021" s="293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</row>
    <row r="1022" spans="1:86" s="53" customFormat="1" ht="22.5" customHeight="1" x14ac:dyDescent="0.2">
      <c r="A1022" s="1394"/>
      <c r="B1022" s="1402"/>
      <c r="C1022" s="1531"/>
      <c r="D1022" s="1451"/>
      <c r="E1022" s="1402"/>
      <c r="F1022" s="1451"/>
      <c r="G1022" s="1402"/>
      <c r="H1022" s="1056"/>
      <c r="I1022" s="1056"/>
      <c r="J1022" s="1056"/>
      <c r="K1022" s="1056"/>
      <c r="L1022" s="1056"/>
      <c r="M1022" s="1056"/>
      <c r="N1022" s="1056"/>
      <c r="O1022" s="1056"/>
      <c r="P1022" s="1056"/>
      <c r="Q1022" s="1056"/>
      <c r="R1022" s="1056"/>
      <c r="S1022" s="296"/>
      <c r="T1022" s="294"/>
      <c r="U1022" s="294"/>
      <c r="V1022" s="294"/>
      <c r="W1022" s="84"/>
      <c r="X1022" s="85"/>
      <c r="Y1022" s="295"/>
      <c r="Z1022" s="1035"/>
      <c r="AA1022" s="1035"/>
      <c r="AB1022" s="1154"/>
      <c r="AC1022" s="917"/>
      <c r="AD1022" s="917"/>
      <c r="AE1022" s="1035"/>
      <c r="AF1022" s="243"/>
      <c r="AG1022" s="243"/>
      <c r="AH1022" s="244"/>
      <c r="AI1022" s="1055"/>
      <c r="AJ1022" s="1055"/>
      <c r="AK1022" s="245"/>
      <c r="AL1022" s="1448"/>
      <c r="AM1022" s="1448"/>
      <c r="AN1022" s="1479"/>
      <c r="AO1022" s="1055">
        <v>2500</v>
      </c>
      <c r="AP1022" s="1055" t="s">
        <v>507</v>
      </c>
      <c r="AQ1022" s="1443"/>
      <c r="AR1022" s="295"/>
      <c r="AS1022" s="293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</row>
    <row r="1023" spans="1:86" s="53" customFormat="1" ht="22.5" hidden="1" customHeight="1" x14ac:dyDescent="0.2">
      <c r="A1023" s="1026"/>
      <c r="B1023" s="1463"/>
      <c r="C1023" s="1532"/>
      <c r="D1023" s="1476"/>
      <c r="E1023" s="1463"/>
      <c r="F1023" s="1476"/>
      <c r="G1023" s="1463"/>
      <c r="H1023" s="1056"/>
      <c r="I1023" s="1056"/>
      <c r="J1023" s="1056"/>
      <c r="K1023" s="1056"/>
      <c r="L1023" s="1056"/>
      <c r="M1023" s="1056"/>
      <c r="N1023" s="1056"/>
      <c r="O1023" s="1056"/>
      <c r="P1023" s="1056"/>
      <c r="Q1023" s="1056"/>
      <c r="R1023" s="1056"/>
      <c r="S1023" s="296"/>
      <c r="T1023" s="294"/>
      <c r="U1023" s="294"/>
      <c r="V1023" s="294"/>
      <c r="W1023" s="84"/>
      <c r="X1023" s="85"/>
      <c r="Y1023" s="295"/>
      <c r="Z1023" s="1035"/>
      <c r="AA1023" s="1035"/>
      <c r="AB1023" s="1154"/>
      <c r="AC1023" s="917"/>
      <c r="AD1023" s="917"/>
      <c r="AE1023" s="1035"/>
      <c r="AF1023" s="243"/>
      <c r="AG1023" s="243"/>
      <c r="AH1023" s="1054"/>
      <c r="AI1023" s="1055"/>
      <c r="AJ1023" s="1055"/>
      <c r="AK1023" s="245"/>
      <c r="AL1023" s="1449"/>
      <c r="AM1023" s="1449"/>
      <c r="AN1023" s="1054" t="s">
        <v>35</v>
      </c>
      <c r="AO1023" s="1055">
        <v>3</v>
      </c>
      <c r="AP1023" s="1055" t="s">
        <v>8</v>
      </c>
      <c r="AQ1023" s="1444"/>
      <c r="AR1023" s="295"/>
      <c r="AS1023" s="293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</row>
    <row r="1024" spans="1:86" s="53" customFormat="1" ht="22.5" hidden="1" customHeight="1" x14ac:dyDescent="0.2">
      <c r="A1024" s="1393">
        <v>39</v>
      </c>
      <c r="B1024" s="1462">
        <v>2240554</v>
      </c>
      <c r="C1024" s="1343" t="s">
        <v>147</v>
      </c>
      <c r="D1024" s="1475">
        <v>1</v>
      </c>
      <c r="E1024" s="1462">
        <v>6000</v>
      </c>
      <c r="F1024" s="1475">
        <v>0.4</v>
      </c>
      <c r="G1024" s="1462">
        <f>F1024*6000</f>
        <v>2400</v>
      </c>
      <c r="H1024" s="1056"/>
      <c r="I1024" s="1056"/>
      <c r="J1024" s="1056"/>
      <c r="K1024" s="1056"/>
      <c r="L1024" s="1056"/>
      <c r="M1024" s="1056"/>
      <c r="N1024" s="1056"/>
      <c r="O1024" s="1056"/>
      <c r="P1024" s="1056"/>
      <c r="Q1024" s="1056"/>
      <c r="R1024" s="1056"/>
      <c r="S1024" s="296"/>
      <c r="T1024" s="294"/>
      <c r="U1024" s="294"/>
      <c r="V1024" s="294"/>
      <c r="W1024" s="84"/>
      <c r="X1024" s="85"/>
      <c r="Y1024" s="295"/>
      <c r="Z1024" s="1035"/>
      <c r="AA1024" s="1035"/>
      <c r="AB1024" s="1154"/>
      <c r="AC1024" s="917"/>
      <c r="AD1024" s="917"/>
      <c r="AE1024" s="1035"/>
      <c r="AF1024" s="243"/>
      <c r="AG1024" s="243"/>
      <c r="AH1024" s="244"/>
      <c r="AI1024" s="242"/>
      <c r="AJ1024" s="1055"/>
      <c r="AK1024" s="245"/>
      <c r="AL1024" s="1447" t="s">
        <v>504</v>
      </c>
      <c r="AM1024" s="1447" t="s">
        <v>548</v>
      </c>
      <c r="AN1024" s="1456" t="s">
        <v>506</v>
      </c>
      <c r="AO1024" s="242"/>
      <c r="AP1024" s="1055" t="s">
        <v>2</v>
      </c>
      <c r="AQ1024" s="1442"/>
      <c r="AR1024" s="295"/>
      <c r="AS1024" s="293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</row>
    <row r="1025" spans="1:86" s="53" customFormat="1" ht="22.5" hidden="1" customHeight="1" x14ac:dyDescent="0.2">
      <c r="A1025" s="1394"/>
      <c r="B1025" s="1402"/>
      <c r="C1025" s="1531"/>
      <c r="D1025" s="1451"/>
      <c r="E1025" s="1402"/>
      <c r="F1025" s="1451"/>
      <c r="G1025" s="1402"/>
      <c r="H1025" s="1056"/>
      <c r="I1025" s="1056"/>
      <c r="J1025" s="1056"/>
      <c r="K1025" s="1056"/>
      <c r="L1025" s="1056"/>
      <c r="M1025" s="1056"/>
      <c r="N1025" s="1056"/>
      <c r="O1025" s="1056"/>
      <c r="P1025" s="1056"/>
      <c r="Q1025" s="1056"/>
      <c r="R1025" s="1056"/>
      <c r="S1025" s="296"/>
      <c r="T1025" s="294"/>
      <c r="U1025" s="294"/>
      <c r="V1025" s="294"/>
      <c r="W1025" s="84"/>
      <c r="X1025" s="85"/>
      <c r="Y1025" s="295"/>
      <c r="Z1025" s="1035"/>
      <c r="AA1025" s="1035"/>
      <c r="AB1025" s="1154"/>
      <c r="AC1025" s="917"/>
      <c r="AD1025" s="917"/>
      <c r="AE1025" s="1035"/>
      <c r="AF1025" s="243"/>
      <c r="AG1025" s="243"/>
      <c r="AH1025" s="244"/>
      <c r="AI1025" s="1055"/>
      <c r="AJ1025" s="1055"/>
      <c r="AK1025" s="245"/>
      <c r="AL1025" s="1448"/>
      <c r="AM1025" s="1448"/>
      <c r="AN1025" s="1479"/>
      <c r="AO1025" s="1055"/>
      <c r="AP1025" s="1055" t="s">
        <v>507</v>
      </c>
      <c r="AQ1025" s="1443"/>
      <c r="AR1025" s="295"/>
      <c r="AS1025" s="293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</row>
    <row r="1026" spans="1:86" s="53" customFormat="1" ht="22.5" hidden="1" customHeight="1" x14ac:dyDescent="0.2">
      <c r="A1026" s="1026"/>
      <c r="B1026" s="1463"/>
      <c r="C1026" s="1532"/>
      <c r="D1026" s="1476"/>
      <c r="E1026" s="1463"/>
      <c r="F1026" s="1476"/>
      <c r="G1026" s="1463"/>
      <c r="H1026" s="1056"/>
      <c r="I1026" s="1056"/>
      <c r="J1026" s="1056"/>
      <c r="K1026" s="1056"/>
      <c r="L1026" s="1056"/>
      <c r="M1026" s="1056"/>
      <c r="N1026" s="1056"/>
      <c r="O1026" s="1056"/>
      <c r="P1026" s="1056"/>
      <c r="Q1026" s="1056"/>
      <c r="R1026" s="1056"/>
      <c r="S1026" s="296"/>
      <c r="T1026" s="294"/>
      <c r="U1026" s="294"/>
      <c r="V1026" s="294"/>
      <c r="W1026" s="84"/>
      <c r="X1026" s="85"/>
      <c r="Y1026" s="295"/>
      <c r="Z1026" s="1035"/>
      <c r="AA1026" s="1035"/>
      <c r="AB1026" s="1154"/>
      <c r="AC1026" s="917"/>
      <c r="AD1026" s="917"/>
      <c r="AE1026" s="1035"/>
      <c r="AF1026" s="243"/>
      <c r="AG1026" s="243"/>
      <c r="AH1026" s="1054"/>
      <c r="AI1026" s="1055"/>
      <c r="AJ1026" s="1055"/>
      <c r="AK1026" s="245"/>
      <c r="AL1026" s="1449"/>
      <c r="AM1026" s="1449"/>
      <c r="AN1026" s="1054" t="s">
        <v>35</v>
      </c>
      <c r="AO1026" s="1055">
        <v>2</v>
      </c>
      <c r="AP1026" s="1055" t="s">
        <v>8</v>
      </c>
      <c r="AQ1026" s="1444"/>
      <c r="AR1026" s="295"/>
      <c r="AS1026" s="293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</row>
    <row r="1027" spans="1:86" s="53" customFormat="1" ht="22.5" hidden="1" customHeight="1" x14ac:dyDescent="0.2">
      <c r="A1027" s="1393">
        <v>23</v>
      </c>
      <c r="B1027" s="1462">
        <v>2239478</v>
      </c>
      <c r="C1027" s="1343" t="s">
        <v>150</v>
      </c>
      <c r="D1027" s="1475">
        <v>0.6</v>
      </c>
      <c r="E1027" s="1462">
        <v>3000</v>
      </c>
      <c r="F1027" s="1475">
        <v>0.6</v>
      </c>
      <c r="G1027" s="1462">
        <v>3000</v>
      </c>
      <c r="H1027" s="1056"/>
      <c r="I1027" s="1056"/>
      <c r="J1027" s="1056"/>
      <c r="K1027" s="1056"/>
      <c r="L1027" s="1056"/>
      <c r="M1027" s="1056"/>
      <c r="N1027" s="1056"/>
      <c r="O1027" s="1056"/>
      <c r="P1027" s="1056"/>
      <c r="Q1027" s="1056"/>
      <c r="R1027" s="1056"/>
      <c r="S1027" s="296"/>
      <c r="T1027" s="294"/>
      <c r="U1027" s="294"/>
      <c r="V1027" s="294"/>
      <c r="W1027" s="84"/>
      <c r="X1027" s="85"/>
      <c r="Y1027" s="295"/>
      <c r="Z1027" s="1035"/>
      <c r="AA1027" s="1035"/>
      <c r="AB1027" s="1154"/>
      <c r="AC1027" s="917"/>
      <c r="AD1027" s="917"/>
      <c r="AE1027" s="1035"/>
      <c r="AF1027" s="243"/>
      <c r="AG1027" s="243"/>
      <c r="AH1027" s="244"/>
      <c r="AI1027" s="242"/>
      <c r="AJ1027" s="1055"/>
      <c r="AK1027" s="245"/>
      <c r="AL1027" s="1447" t="s">
        <v>504</v>
      </c>
      <c r="AM1027" s="1447" t="s">
        <v>547</v>
      </c>
      <c r="AN1027" s="1456" t="s">
        <v>506</v>
      </c>
      <c r="AO1027" s="242"/>
      <c r="AP1027" s="1055" t="s">
        <v>2</v>
      </c>
      <c r="AQ1027" s="1442"/>
      <c r="AR1027" s="1056"/>
      <c r="AS1027" s="293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</row>
    <row r="1028" spans="1:86" s="53" customFormat="1" ht="22.5" hidden="1" customHeight="1" x14ac:dyDescent="0.2">
      <c r="A1028" s="1394"/>
      <c r="B1028" s="1402"/>
      <c r="C1028" s="1531"/>
      <c r="D1028" s="1451"/>
      <c r="E1028" s="1402"/>
      <c r="F1028" s="1451"/>
      <c r="G1028" s="1402"/>
      <c r="H1028" s="1056"/>
      <c r="I1028" s="1056"/>
      <c r="J1028" s="1056"/>
      <c r="K1028" s="1056"/>
      <c r="L1028" s="1056"/>
      <c r="M1028" s="1056"/>
      <c r="N1028" s="1056"/>
      <c r="O1028" s="1056"/>
      <c r="P1028" s="1056"/>
      <c r="Q1028" s="1056"/>
      <c r="R1028" s="1056"/>
      <c r="S1028" s="296"/>
      <c r="T1028" s="294"/>
      <c r="U1028" s="294"/>
      <c r="V1028" s="294"/>
      <c r="W1028" s="84"/>
      <c r="X1028" s="85"/>
      <c r="Y1028" s="295"/>
      <c r="Z1028" s="1035"/>
      <c r="AA1028" s="1035"/>
      <c r="AB1028" s="1154"/>
      <c r="AC1028" s="917"/>
      <c r="AD1028" s="917"/>
      <c r="AE1028" s="1035"/>
      <c r="AF1028" s="243"/>
      <c r="AG1028" s="243"/>
      <c r="AH1028" s="244"/>
      <c r="AI1028" s="1055"/>
      <c r="AJ1028" s="1055"/>
      <c r="AK1028" s="245"/>
      <c r="AL1028" s="1448"/>
      <c r="AM1028" s="1448"/>
      <c r="AN1028" s="1479"/>
      <c r="AO1028" s="1055"/>
      <c r="AP1028" s="1055" t="s">
        <v>507</v>
      </c>
      <c r="AQ1028" s="1443"/>
      <c r="AR1028" s="295"/>
      <c r="AS1028" s="293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</row>
    <row r="1029" spans="1:86" s="53" customFormat="1" ht="22.5" hidden="1" customHeight="1" x14ac:dyDescent="0.2">
      <c r="A1029" s="1026"/>
      <c r="B1029" s="1463"/>
      <c r="C1029" s="1532"/>
      <c r="D1029" s="1476"/>
      <c r="E1029" s="1463"/>
      <c r="F1029" s="1476"/>
      <c r="G1029" s="1463"/>
      <c r="H1029" s="1056"/>
      <c r="I1029" s="1056"/>
      <c r="J1029" s="1056"/>
      <c r="K1029" s="1056"/>
      <c r="L1029" s="1056"/>
      <c r="M1029" s="1056"/>
      <c r="N1029" s="1056"/>
      <c r="O1029" s="1056"/>
      <c r="P1029" s="1056"/>
      <c r="Q1029" s="1056"/>
      <c r="R1029" s="1056"/>
      <c r="S1029" s="296"/>
      <c r="T1029" s="294"/>
      <c r="U1029" s="294"/>
      <c r="V1029" s="294"/>
      <c r="W1029" s="84"/>
      <c r="X1029" s="85"/>
      <c r="Y1029" s="295"/>
      <c r="Z1029" s="1035"/>
      <c r="AA1029" s="1035"/>
      <c r="AB1029" s="1154"/>
      <c r="AC1029" s="917"/>
      <c r="AD1029" s="917"/>
      <c r="AE1029" s="1035"/>
      <c r="AF1029" s="243"/>
      <c r="AG1029" s="243"/>
      <c r="AH1029" s="1054"/>
      <c r="AI1029" s="1055"/>
      <c r="AJ1029" s="1055"/>
      <c r="AK1029" s="245"/>
      <c r="AL1029" s="1449"/>
      <c r="AM1029" s="1449"/>
      <c r="AN1029" s="1054" t="s">
        <v>35</v>
      </c>
      <c r="AO1029" s="1055">
        <v>10</v>
      </c>
      <c r="AP1029" s="1055" t="s">
        <v>8</v>
      </c>
      <c r="AQ1029" s="1444"/>
      <c r="AR1029" s="295"/>
      <c r="AS1029" s="293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</row>
    <row r="1030" spans="1:86" s="53" customFormat="1" ht="22.5" hidden="1" customHeight="1" x14ac:dyDescent="0.2">
      <c r="A1030" s="1393">
        <v>41</v>
      </c>
      <c r="B1030" s="1462">
        <v>2244892</v>
      </c>
      <c r="C1030" s="1343" t="s">
        <v>151</v>
      </c>
      <c r="D1030" s="1475">
        <v>0.5</v>
      </c>
      <c r="E1030" s="1462">
        <v>2000</v>
      </c>
      <c r="F1030" s="1475">
        <v>0.5</v>
      </c>
      <c r="G1030" s="1462">
        <v>2000</v>
      </c>
      <c r="H1030" s="1056"/>
      <c r="I1030" s="1056"/>
      <c r="J1030" s="1056"/>
      <c r="K1030" s="1056"/>
      <c r="L1030" s="1056"/>
      <c r="M1030" s="1056"/>
      <c r="N1030" s="1056"/>
      <c r="O1030" s="1056"/>
      <c r="P1030" s="1056"/>
      <c r="Q1030" s="1056"/>
      <c r="R1030" s="1056"/>
      <c r="S1030" s="296"/>
      <c r="T1030" s="294"/>
      <c r="U1030" s="294"/>
      <c r="V1030" s="294"/>
      <c r="W1030" s="84"/>
      <c r="X1030" s="85"/>
      <c r="Y1030" s="295"/>
      <c r="Z1030" s="1035"/>
      <c r="AA1030" s="1035"/>
      <c r="AB1030" s="1154"/>
      <c r="AC1030" s="917"/>
      <c r="AD1030" s="917"/>
      <c r="AE1030" s="1035"/>
      <c r="AF1030" s="243"/>
      <c r="AG1030" s="243"/>
      <c r="AH1030" s="244"/>
      <c r="AI1030" s="242"/>
      <c r="AJ1030" s="1055"/>
      <c r="AK1030" s="245"/>
      <c r="AL1030" s="1447" t="s">
        <v>504</v>
      </c>
      <c r="AM1030" s="1447" t="s">
        <v>546</v>
      </c>
      <c r="AN1030" s="1456" t="s">
        <v>506</v>
      </c>
      <c r="AO1030" s="242"/>
      <c r="AP1030" s="1055" t="s">
        <v>2</v>
      </c>
      <c r="AQ1030" s="1442"/>
      <c r="AR1030" s="295"/>
      <c r="AS1030" s="293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</row>
    <row r="1031" spans="1:86" s="53" customFormat="1" ht="22.5" hidden="1" customHeight="1" x14ac:dyDescent="0.2">
      <c r="A1031" s="1394"/>
      <c r="B1031" s="1402"/>
      <c r="C1031" s="1531"/>
      <c r="D1031" s="1451"/>
      <c r="E1031" s="1402"/>
      <c r="F1031" s="1451"/>
      <c r="G1031" s="1402"/>
      <c r="H1031" s="1056"/>
      <c r="I1031" s="1056"/>
      <c r="J1031" s="1056"/>
      <c r="K1031" s="1056"/>
      <c r="L1031" s="1056"/>
      <c r="M1031" s="1056"/>
      <c r="N1031" s="1056"/>
      <c r="O1031" s="1056"/>
      <c r="P1031" s="1056"/>
      <c r="Q1031" s="1056"/>
      <c r="R1031" s="1056"/>
      <c r="S1031" s="296"/>
      <c r="T1031" s="294"/>
      <c r="U1031" s="294"/>
      <c r="V1031" s="294"/>
      <c r="W1031" s="84"/>
      <c r="X1031" s="85"/>
      <c r="Y1031" s="295"/>
      <c r="Z1031" s="1035"/>
      <c r="AA1031" s="1035"/>
      <c r="AB1031" s="1154"/>
      <c r="AC1031" s="917"/>
      <c r="AD1031" s="917"/>
      <c r="AE1031" s="1035"/>
      <c r="AF1031" s="243"/>
      <c r="AG1031" s="243"/>
      <c r="AH1031" s="244"/>
      <c r="AI1031" s="1055"/>
      <c r="AJ1031" s="1055"/>
      <c r="AK1031" s="245"/>
      <c r="AL1031" s="1448"/>
      <c r="AM1031" s="1448"/>
      <c r="AN1031" s="1479"/>
      <c r="AO1031" s="1055"/>
      <c r="AP1031" s="1055" t="s">
        <v>507</v>
      </c>
      <c r="AQ1031" s="1443"/>
      <c r="AR1031" s="295"/>
      <c r="AS1031" s="293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</row>
    <row r="1032" spans="1:86" s="53" customFormat="1" ht="22.5" hidden="1" customHeight="1" x14ac:dyDescent="0.2">
      <c r="A1032" s="1026"/>
      <c r="B1032" s="1463"/>
      <c r="C1032" s="1532"/>
      <c r="D1032" s="1476"/>
      <c r="E1032" s="1463"/>
      <c r="F1032" s="1476"/>
      <c r="G1032" s="1463"/>
      <c r="H1032" s="1056"/>
      <c r="I1032" s="1056"/>
      <c r="J1032" s="1056"/>
      <c r="K1032" s="1056"/>
      <c r="L1032" s="1056"/>
      <c r="M1032" s="1056"/>
      <c r="N1032" s="1056"/>
      <c r="O1032" s="1056"/>
      <c r="P1032" s="1056"/>
      <c r="Q1032" s="1056"/>
      <c r="R1032" s="1056"/>
      <c r="S1032" s="296"/>
      <c r="T1032" s="294"/>
      <c r="U1032" s="294"/>
      <c r="V1032" s="294"/>
      <c r="W1032" s="84"/>
      <c r="X1032" s="85"/>
      <c r="Y1032" s="295"/>
      <c r="Z1032" s="1035"/>
      <c r="AA1032" s="1035"/>
      <c r="AB1032" s="1154"/>
      <c r="AC1032" s="917"/>
      <c r="AD1032" s="917"/>
      <c r="AE1032" s="1035"/>
      <c r="AF1032" s="243"/>
      <c r="AG1032" s="243"/>
      <c r="AH1032" s="1054"/>
      <c r="AI1032" s="1055"/>
      <c r="AJ1032" s="1055"/>
      <c r="AK1032" s="245"/>
      <c r="AL1032" s="1449"/>
      <c r="AM1032" s="1449"/>
      <c r="AN1032" s="1054" t="s">
        <v>35</v>
      </c>
      <c r="AO1032" s="1055">
        <v>4</v>
      </c>
      <c r="AP1032" s="1055" t="s">
        <v>8</v>
      </c>
      <c r="AQ1032" s="1444"/>
      <c r="AR1032" s="295"/>
      <c r="AS1032" s="293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</row>
    <row r="1033" spans="1:86" s="53" customFormat="1" ht="22.5" hidden="1" customHeight="1" x14ac:dyDescent="0.2">
      <c r="A1033" s="1393">
        <v>42</v>
      </c>
      <c r="B1033" s="1462">
        <v>2241498</v>
      </c>
      <c r="C1033" s="1343" t="s">
        <v>665</v>
      </c>
      <c r="D1033" s="1475">
        <v>0.3</v>
      </c>
      <c r="E1033" s="1462">
        <v>1500</v>
      </c>
      <c r="F1033" s="1475">
        <v>0.3</v>
      </c>
      <c r="G1033" s="1462">
        <v>1500</v>
      </c>
      <c r="H1033" s="1056"/>
      <c r="I1033" s="1056"/>
      <c r="J1033" s="1056"/>
      <c r="K1033" s="1056"/>
      <c r="L1033" s="1056"/>
      <c r="M1033" s="1056"/>
      <c r="N1033" s="1056"/>
      <c r="O1033" s="1056"/>
      <c r="P1033" s="1056"/>
      <c r="Q1033" s="1056"/>
      <c r="R1033" s="1056"/>
      <c r="S1033" s="296"/>
      <c r="T1033" s="294"/>
      <c r="U1033" s="294"/>
      <c r="V1033" s="294"/>
      <c r="W1033" s="84"/>
      <c r="X1033" s="85"/>
      <c r="Y1033" s="295"/>
      <c r="Z1033" s="1035"/>
      <c r="AA1033" s="1035"/>
      <c r="AB1033" s="1154"/>
      <c r="AC1033" s="917"/>
      <c r="AD1033" s="917"/>
      <c r="AE1033" s="1035"/>
      <c r="AF1033" s="243"/>
      <c r="AG1033" s="243"/>
      <c r="AH1033" s="244"/>
      <c r="AI1033" s="242"/>
      <c r="AJ1033" s="1055"/>
      <c r="AK1033" s="245"/>
      <c r="AL1033" s="1447" t="s">
        <v>504</v>
      </c>
      <c r="AM1033" s="1447" t="s">
        <v>549</v>
      </c>
      <c r="AN1033" s="1456" t="s">
        <v>506</v>
      </c>
      <c r="AO1033" s="242"/>
      <c r="AP1033" s="1055" t="s">
        <v>2</v>
      </c>
      <c r="AQ1033" s="1442"/>
      <c r="AR1033" s="295"/>
      <c r="AS1033" s="293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</row>
    <row r="1034" spans="1:86" s="53" customFormat="1" ht="22.5" hidden="1" customHeight="1" x14ac:dyDescent="0.2">
      <c r="A1034" s="1394"/>
      <c r="B1034" s="1402"/>
      <c r="C1034" s="1531"/>
      <c r="D1034" s="1451"/>
      <c r="E1034" s="1402"/>
      <c r="F1034" s="1451"/>
      <c r="G1034" s="1402"/>
      <c r="H1034" s="1056"/>
      <c r="I1034" s="1056"/>
      <c r="J1034" s="1056"/>
      <c r="K1034" s="1056"/>
      <c r="L1034" s="1056"/>
      <c r="M1034" s="1056"/>
      <c r="N1034" s="1056"/>
      <c r="O1034" s="1056"/>
      <c r="P1034" s="1056"/>
      <c r="Q1034" s="1056"/>
      <c r="R1034" s="1056"/>
      <c r="S1034" s="296"/>
      <c r="T1034" s="294"/>
      <c r="U1034" s="294"/>
      <c r="V1034" s="294"/>
      <c r="W1034" s="84"/>
      <c r="X1034" s="85"/>
      <c r="Y1034" s="295"/>
      <c r="Z1034" s="1035"/>
      <c r="AA1034" s="1035"/>
      <c r="AB1034" s="1154"/>
      <c r="AC1034" s="917"/>
      <c r="AD1034" s="917"/>
      <c r="AE1034" s="1035"/>
      <c r="AF1034" s="243"/>
      <c r="AG1034" s="243"/>
      <c r="AH1034" s="244"/>
      <c r="AI1034" s="1055"/>
      <c r="AJ1034" s="1055"/>
      <c r="AK1034" s="245"/>
      <c r="AL1034" s="1448"/>
      <c r="AM1034" s="1448"/>
      <c r="AN1034" s="1479"/>
      <c r="AO1034" s="1055"/>
      <c r="AP1034" s="1055" t="s">
        <v>507</v>
      </c>
      <c r="AQ1034" s="1443"/>
      <c r="AR1034" s="295"/>
      <c r="AS1034" s="293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</row>
    <row r="1035" spans="1:86" s="53" customFormat="1" ht="22.5" hidden="1" customHeight="1" x14ac:dyDescent="0.2">
      <c r="A1035" s="1026"/>
      <c r="B1035" s="1463"/>
      <c r="C1035" s="1532"/>
      <c r="D1035" s="1476"/>
      <c r="E1035" s="1463"/>
      <c r="F1035" s="1476"/>
      <c r="G1035" s="1463"/>
      <c r="H1035" s="1056"/>
      <c r="I1035" s="1056"/>
      <c r="J1035" s="1056"/>
      <c r="K1035" s="1056"/>
      <c r="L1035" s="1056"/>
      <c r="M1035" s="1056"/>
      <c r="N1035" s="1056"/>
      <c r="O1035" s="1056"/>
      <c r="P1035" s="1056"/>
      <c r="Q1035" s="1056"/>
      <c r="R1035" s="1056"/>
      <c r="S1035" s="296"/>
      <c r="T1035" s="294"/>
      <c r="U1035" s="294"/>
      <c r="V1035" s="294"/>
      <c r="W1035" s="84"/>
      <c r="X1035" s="85"/>
      <c r="Y1035" s="295"/>
      <c r="Z1035" s="1035"/>
      <c r="AA1035" s="1035"/>
      <c r="AB1035" s="1154"/>
      <c r="AC1035" s="917"/>
      <c r="AD1035" s="917"/>
      <c r="AE1035" s="1035"/>
      <c r="AF1035" s="243"/>
      <c r="AG1035" s="243"/>
      <c r="AH1035" s="1054"/>
      <c r="AI1035" s="1055"/>
      <c r="AJ1035" s="1055"/>
      <c r="AK1035" s="245"/>
      <c r="AL1035" s="1449"/>
      <c r="AM1035" s="1449"/>
      <c r="AN1035" s="1041" t="s">
        <v>35</v>
      </c>
      <c r="AO1035" s="1055">
        <v>6</v>
      </c>
      <c r="AP1035" s="1055" t="s">
        <v>8</v>
      </c>
      <c r="AQ1035" s="1444"/>
      <c r="AR1035" s="295"/>
      <c r="AS1035" s="293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</row>
    <row r="1036" spans="1:86" s="53" customFormat="1" ht="22.5" hidden="1" customHeight="1" x14ac:dyDescent="0.2">
      <c r="A1036" s="1393">
        <v>43</v>
      </c>
      <c r="B1036" s="1462">
        <v>2240760</v>
      </c>
      <c r="C1036" s="1343" t="s">
        <v>501</v>
      </c>
      <c r="D1036" s="1475">
        <v>0.3</v>
      </c>
      <c r="E1036" s="1462">
        <v>1500</v>
      </c>
      <c r="F1036" s="1475">
        <v>0.3</v>
      </c>
      <c r="G1036" s="1462">
        <v>1500</v>
      </c>
      <c r="H1036" s="1056"/>
      <c r="I1036" s="1056"/>
      <c r="J1036" s="1056"/>
      <c r="K1036" s="1056"/>
      <c r="L1036" s="1056"/>
      <c r="M1036" s="1056"/>
      <c r="N1036" s="1056"/>
      <c r="O1036" s="1056"/>
      <c r="P1036" s="1056"/>
      <c r="Q1036" s="1056"/>
      <c r="R1036" s="1056"/>
      <c r="S1036" s="296"/>
      <c r="T1036" s="294"/>
      <c r="U1036" s="294"/>
      <c r="V1036" s="294"/>
      <c r="W1036" s="84"/>
      <c r="X1036" s="85"/>
      <c r="Y1036" s="295"/>
      <c r="Z1036" s="1035"/>
      <c r="AA1036" s="1035"/>
      <c r="AB1036" s="1154"/>
      <c r="AC1036" s="917"/>
      <c r="AD1036" s="917"/>
      <c r="AE1036" s="1035"/>
      <c r="AF1036" s="243"/>
      <c r="AG1036" s="243"/>
      <c r="AH1036" s="244"/>
      <c r="AI1036" s="242"/>
      <c r="AJ1036" s="1055"/>
      <c r="AK1036" s="245"/>
      <c r="AL1036" s="1447" t="s">
        <v>504</v>
      </c>
      <c r="AM1036" s="1447" t="s">
        <v>549</v>
      </c>
      <c r="AN1036" s="1456" t="s">
        <v>506</v>
      </c>
      <c r="AO1036" s="242"/>
      <c r="AP1036" s="1055" t="s">
        <v>2</v>
      </c>
      <c r="AQ1036" s="1442">
        <f>AO1036*3225*2</f>
        <v>0</v>
      </c>
      <c r="AR1036" s="295"/>
      <c r="AS1036" s="293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</row>
    <row r="1037" spans="1:86" s="53" customFormat="1" ht="22.5" hidden="1" customHeight="1" x14ac:dyDescent="0.2">
      <c r="A1037" s="1394"/>
      <c r="B1037" s="1402"/>
      <c r="C1037" s="1531"/>
      <c r="D1037" s="1451"/>
      <c r="E1037" s="1402"/>
      <c r="F1037" s="1451"/>
      <c r="G1037" s="1402"/>
      <c r="H1037" s="1056"/>
      <c r="I1037" s="1056"/>
      <c r="J1037" s="1056"/>
      <c r="K1037" s="1056"/>
      <c r="L1037" s="1056"/>
      <c r="M1037" s="1056"/>
      <c r="N1037" s="1056"/>
      <c r="O1037" s="1056"/>
      <c r="P1037" s="1056"/>
      <c r="Q1037" s="1056"/>
      <c r="R1037" s="1056"/>
      <c r="S1037" s="296"/>
      <c r="T1037" s="294"/>
      <c r="U1037" s="294"/>
      <c r="V1037" s="294"/>
      <c r="W1037" s="84"/>
      <c r="X1037" s="85"/>
      <c r="Y1037" s="295"/>
      <c r="Z1037" s="1035"/>
      <c r="AA1037" s="1035"/>
      <c r="AB1037" s="1154"/>
      <c r="AC1037" s="917"/>
      <c r="AD1037" s="917"/>
      <c r="AE1037" s="1035"/>
      <c r="AF1037" s="243"/>
      <c r="AG1037" s="243"/>
      <c r="AH1037" s="244"/>
      <c r="AI1037" s="1055"/>
      <c r="AJ1037" s="1055"/>
      <c r="AK1037" s="245"/>
      <c r="AL1037" s="1448"/>
      <c r="AM1037" s="1448"/>
      <c r="AN1037" s="1479"/>
      <c r="AO1037" s="1055"/>
      <c r="AP1037" s="1055" t="s">
        <v>507</v>
      </c>
      <c r="AQ1037" s="1443"/>
      <c r="AR1037" s="295"/>
      <c r="AS1037" s="293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</row>
    <row r="1038" spans="1:86" s="53" customFormat="1" ht="22.5" hidden="1" customHeight="1" x14ac:dyDescent="0.2">
      <c r="A1038" s="1026"/>
      <c r="B1038" s="1463"/>
      <c r="C1038" s="1532"/>
      <c r="D1038" s="1476"/>
      <c r="E1038" s="1463"/>
      <c r="F1038" s="1476"/>
      <c r="G1038" s="1463"/>
      <c r="H1038" s="1056"/>
      <c r="I1038" s="1056"/>
      <c r="J1038" s="1056"/>
      <c r="K1038" s="1056"/>
      <c r="L1038" s="1056"/>
      <c r="M1038" s="1056"/>
      <c r="N1038" s="1056"/>
      <c r="O1038" s="1056"/>
      <c r="P1038" s="1056"/>
      <c r="Q1038" s="1056"/>
      <c r="R1038" s="1056"/>
      <c r="S1038" s="296"/>
      <c r="T1038" s="294"/>
      <c r="U1038" s="294"/>
      <c r="V1038" s="294"/>
      <c r="W1038" s="84"/>
      <c r="X1038" s="85"/>
      <c r="Y1038" s="295"/>
      <c r="Z1038" s="1035"/>
      <c r="AA1038" s="1035"/>
      <c r="AB1038" s="1154"/>
      <c r="AC1038" s="917"/>
      <c r="AD1038" s="917"/>
      <c r="AE1038" s="1035"/>
      <c r="AF1038" s="243"/>
      <c r="AG1038" s="243"/>
      <c r="AH1038" s="1054"/>
      <c r="AI1038" s="1055"/>
      <c r="AJ1038" s="1055"/>
      <c r="AK1038" s="245"/>
      <c r="AL1038" s="1449"/>
      <c r="AM1038" s="1449"/>
      <c r="AN1038" s="1054" t="s">
        <v>35</v>
      </c>
      <c r="AO1038" s="1055">
        <v>1</v>
      </c>
      <c r="AP1038" s="1055" t="s">
        <v>8</v>
      </c>
      <c r="AQ1038" s="1444"/>
      <c r="AR1038" s="295"/>
      <c r="AS1038" s="293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</row>
    <row r="1039" spans="1:86" s="53" customFormat="1" ht="22.5" customHeight="1" x14ac:dyDescent="0.2">
      <c r="A1039" s="1393">
        <v>27</v>
      </c>
      <c r="B1039" s="1462">
        <v>2244615</v>
      </c>
      <c r="C1039" s="1343" t="s">
        <v>152</v>
      </c>
      <c r="D1039" s="1475">
        <v>0.7</v>
      </c>
      <c r="E1039" s="1462">
        <v>3500</v>
      </c>
      <c r="F1039" s="1475">
        <v>0.7</v>
      </c>
      <c r="G1039" s="1462">
        <v>3500</v>
      </c>
      <c r="H1039" s="1056"/>
      <c r="I1039" s="1056"/>
      <c r="J1039" s="1056"/>
      <c r="K1039" s="1056"/>
      <c r="L1039" s="1056"/>
      <c r="M1039" s="1056"/>
      <c r="N1039" s="1056"/>
      <c r="O1039" s="1056"/>
      <c r="P1039" s="1056"/>
      <c r="Q1039" s="1056"/>
      <c r="R1039" s="1056"/>
      <c r="S1039" s="296"/>
      <c r="T1039" s="294"/>
      <c r="U1039" s="294"/>
      <c r="V1039" s="294"/>
      <c r="W1039" s="84"/>
      <c r="X1039" s="85"/>
      <c r="Y1039" s="295"/>
      <c r="Z1039" s="1035"/>
      <c r="AA1039" s="1035"/>
      <c r="AB1039" s="1154"/>
      <c r="AC1039" s="917"/>
      <c r="AD1039" s="917"/>
      <c r="AE1039" s="1035"/>
      <c r="AF1039" s="243"/>
      <c r="AG1039" s="243"/>
      <c r="AH1039" s="244"/>
      <c r="AI1039" s="242"/>
      <c r="AJ1039" s="1055"/>
      <c r="AK1039" s="245"/>
      <c r="AL1039" s="1447" t="s">
        <v>504</v>
      </c>
      <c r="AM1039" s="1447" t="s">
        <v>550</v>
      </c>
      <c r="AN1039" s="1456" t="s">
        <v>506</v>
      </c>
      <c r="AO1039" s="242">
        <v>0.7</v>
      </c>
      <c r="AP1039" s="1055" t="s">
        <v>2</v>
      </c>
      <c r="AQ1039" s="1442">
        <f>6285*2</f>
        <v>12570</v>
      </c>
      <c r="AR1039" s="1056"/>
      <c r="AS1039" s="293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</row>
    <row r="1040" spans="1:86" s="53" customFormat="1" ht="22.5" customHeight="1" x14ac:dyDescent="0.2">
      <c r="A1040" s="1394"/>
      <c r="B1040" s="1402"/>
      <c r="C1040" s="1531"/>
      <c r="D1040" s="1451"/>
      <c r="E1040" s="1402"/>
      <c r="F1040" s="1451"/>
      <c r="G1040" s="1402"/>
      <c r="H1040" s="1056"/>
      <c r="I1040" s="1056"/>
      <c r="J1040" s="1056"/>
      <c r="K1040" s="1056"/>
      <c r="L1040" s="1056"/>
      <c r="M1040" s="1056"/>
      <c r="N1040" s="1056"/>
      <c r="O1040" s="1056"/>
      <c r="P1040" s="1056"/>
      <c r="Q1040" s="1056"/>
      <c r="R1040" s="1056"/>
      <c r="S1040" s="296"/>
      <c r="T1040" s="294"/>
      <c r="U1040" s="294"/>
      <c r="V1040" s="294"/>
      <c r="W1040" s="84"/>
      <c r="X1040" s="85"/>
      <c r="Y1040" s="295"/>
      <c r="Z1040" s="1035"/>
      <c r="AA1040" s="1035"/>
      <c r="AB1040" s="1154"/>
      <c r="AC1040" s="917"/>
      <c r="AD1040" s="917"/>
      <c r="AE1040" s="1035"/>
      <c r="AF1040" s="243"/>
      <c r="AG1040" s="243"/>
      <c r="AH1040" s="244"/>
      <c r="AI1040" s="1055"/>
      <c r="AJ1040" s="1055"/>
      <c r="AK1040" s="245"/>
      <c r="AL1040" s="1448"/>
      <c r="AM1040" s="1448"/>
      <c r="AN1040" s="1479"/>
      <c r="AO1040" s="1055">
        <v>3500</v>
      </c>
      <c r="AP1040" s="1055" t="s">
        <v>507</v>
      </c>
      <c r="AQ1040" s="1443"/>
      <c r="AR1040" s="295"/>
      <c r="AS1040" s="293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</row>
    <row r="1041" spans="1:86" s="53" customFormat="1" ht="22.5" hidden="1" customHeight="1" x14ac:dyDescent="0.2">
      <c r="A1041" s="1026"/>
      <c r="B1041" s="1463"/>
      <c r="C1041" s="1532"/>
      <c r="D1041" s="1476"/>
      <c r="E1041" s="1463"/>
      <c r="F1041" s="1476"/>
      <c r="G1041" s="1463"/>
      <c r="H1041" s="1056"/>
      <c r="I1041" s="1056"/>
      <c r="J1041" s="1056"/>
      <c r="K1041" s="1056"/>
      <c r="L1041" s="1056"/>
      <c r="M1041" s="1056"/>
      <c r="N1041" s="1056"/>
      <c r="O1041" s="1056"/>
      <c r="P1041" s="1056"/>
      <c r="Q1041" s="1056"/>
      <c r="R1041" s="1056"/>
      <c r="S1041" s="296"/>
      <c r="T1041" s="294"/>
      <c r="U1041" s="294"/>
      <c r="V1041" s="294"/>
      <c r="W1041" s="84"/>
      <c r="X1041" s="85"/>
      <c r="Y1041" s="295"/>
      <c r="Z1041" s="1035"/>
      <c r="AA1041" s="1035"/>
      <c r="AB1041" s="1154"/>
      <c r="AC1041" s="917"/>
      <c r="AD1041" s="917"/>
      <c r="AE1041" s="1035"/>
      <c r="AF1041" s="243"/>
      <c r="AG1041" s="243"/>
      <c r="AH1041" s="1054"/>
      <c r="AI1041" s="1055"/>
      <c r="AJ1041" s="1055"/>
      <c r="AK1041" s="245"/>
      <c r="AL1041" s="1449"/>
      <c r="AM1041" s="1449"/>
      <c r="AN1041" s="1054" t="s">
        <v>35</v>
      </c>
      <c r="AO1041" s="1055">
        <v>3</v>
      </c>
      <c r="AP1041" s="1055" t="s">
        <v>8</v>
      </c>
      <c r="AQ1041" s="1444"/>
      <c r="AR1041" s="1056"/>
      <c r="AS1041" s="293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</row>
    <row r="1042" spans="1:86" s="53" customFormat="1" ht="22.5" hidden="1" customHeight="1" x14ac:dyDescent="0.2">
      <c r="A1042" s="1026"/>
      <c r="B1042" s="1462">
        <v>2246579</v>
      </c>
      <c r="C1042" s="1343" t="s">
        <v>153</v>
      </c>
      <c r="D1042" s="1475">
        <v>0.8</v>
      </c>
      <c r="E1042" s="1462">
        <v>4000</v>
      </c>
      <c r="F1042" s="1475">
        <v>0.8</v>
      </c>
      <c r="G1042" s="1462">
        <v>4000</v>
      </c>
      <c r="H1042" s="1056"/>
      <c r="I1042" s="1056"/>
      <c r="J1042" s="1056"/>
      <c r="K1042" s="1056"/>
      <c r="L1042" s="1056"/>
      <c r="M1042" s="1056"/>
      <c r="N1042" s="1056"/>
      <c r="O1042" s="1056"/>
      <c r="P1042" s="1056"/>
      <c r="Q1042" s="1056"/>
      <c r="R1042" s="1056"/>
      <c r="S1042" s="296"/>
      <c r="T1042" s="294"/>
      <c r="U1042" s="294"/>
      <c r="V1042" s="294"/>
      <c r="W1042" s="84"/>
      <c r="X1042" s="85"/>
      <c r="Y1042" s="295"/>
      <c r="Z1042" s="1035"/>
      <c r="AA1042" s="1035"/>
      <c r="AB1042" s="1154"/>
      <c r="AC1042" s="917"/>
      <c r="AD1042" s="917"/>
      <c r="AE1042" s="1035"/>
      <c r="AF1042" s="243"/>
      <c r="AG1042" s="243"/>
      <c r="AH1042" s="244"/>
      <c r="AI1042" s="242"/>
      <c r="AJ1042" s="1055"/>
      <c r="AK1042" s="245"/>
      <c r="AL1042" s="1447" t="s">
        <v>504</v>
      </c>
      <c r="AM1042" s="1447" t="s">
        <v>551</v>
      </c>
      <c r="AN1042" s="1456" t="s">
        <v>506</v>
      </c>
      <c r="AO1042" s="242">
        <v>0.8</v>
      </c>
      <c r="AP1042" s="1055" t="s">
        <v>2</v>
      </c>
      <c r="AQ1042" s="1442">
        <v>2590</v>
      </c>
      <c r="AR1042" s="295"/>
      <c r="AS1042" s="293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</row>
    <row r="1043" spans="1:86" s="53" customFormat="1" ht="22.5" hidden="1" customHeight="1" x14ac:dyDescent="0.2">
      <c r="A1043" s="1026"/>
      <c r="B1043" s="1402"/>
      <c r="C1043" s="1531"/>
      <c r="D1043" s="1451"/>
      <c r="E1043" s="1402"/>
      <c r="F1043" s="1451"/>
      <c r="G1043" s="1402"/>
      <c r="H1043" s="1056"/>
      <c r="I1043" s="1056"/>
      <c r="J1043" s="1056"/>
      <c r="K1043" s="1056"/>
      <c r="L1043" s="1056"/>
      <c r="M1043" s="1056"/>
      <c r="N1043" s="1056"/>
      <c r="O1043" s="1056"/>
      <c r="P1043" s="1056"/>
      <c r="Q1043" s="1056"/>
      <c r="R1043" s="1056"/>
      <c r="S1043" s="296"/>
      <c r="T1043" s="294"/>
      <c r="U1043" s="294"/>
      <c r="V1043" s="294"/>
      <c r="W1043" s="84"/>
      <c r="X1043" s="85"/>
      <c r="Y1043" s="295"/>
      <c r="Z1043" s="1035"/>
      <c r="AA1043" s="1035"/>
      <c r="AB1043" s="1154"/>
      <c r="AC1043" s="917"/>
      <c r="AD1043" s="917"/>
      <c r="AE1043" s="1035"/>
      <c r="AF1043" s="243"/>
      <c r="AG1043" s="243"/>
      <c r="AH1043" s="244"/>
      <c r="AI1043" s="1055"/>
      <c r="AJ1043" s="1055"/>
      <c r="AK1043" s="245"/>
      <c r="AL1043" s="1448"/>
      <c r="AM1043" s="1448"/>
      <c r="AN1043" s="1479"/>
      <c r="AO1043" s="1055">
        <v>4000</v>
      </c>
      <c r="AP1043" s="1055" t="s">
        <v>507</v>
      </c>
      <c r="AQ1043" s="1443"/>
      <c r="AR1043" s="1056"/>
      <c r="AS1043" s="293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</row>
    <row r="1044" spans="1:86" s="53" customFormat="1" ht="22.5" hidden="1" customHeight="1" x14ac:dyDescent="0.2">
      <c r="A1044" s="1026"/>
      <c r="B1044" s="1463"/>
      <c r="C1044" s="1532"/>
      <c r="D1044" s="1476"/>
      <c r="E1044" s="1463"/>
      <c r="F1044" s="1476"/>
      <c r="G1044" s="1463"/>
      <c r="H1044" s="1056"/>
      <c r="I1044" s="1056"/>
      <c r="J1044" s="1056"/>
      <c r="K1044" s="1056"/>
      <c r="L1044" s="1056"/>
      <c r="M1044" s="1056"/>
      <c r="N1044" s="1056"/>
      <c r="O1044" s="1056"/>
      <c r="P1044" s="1056"/>
      <c r="Q1044" s="1056"/>
      <c r="R1044" s="1056"/>
      <c r="S1044" s="296"/>
      <c r="T1044" s="294"/>
      <c r="U1044" s="294"/>
      <c r="V1044" s="294"/>
      <c r="W1044" s="84"/>
      <c r="X1044" s="85"/>
      <c r="Y1044" s="295"/>
      <c r="Z1044" s="1035"/>
      <c r="AA1044" s="1035"/>
      <c r="AB1044" s="1154"/>
      <c r="AC1044" s="917"/>
      <c r="AD1044" s="917"/>
      <c r="AE1044" s="1035"/>
      <c r="AF1044" s="243"/>
      <c r="AG1044" s="243"/>
      <c r="AH1044" s="1054"/>
      <c r="AI1044" s="1055"/>
      <c r="AJ1044" s="1055"/>
      <c r="AK1044" s="245"/>
      <c r="AL1044" s="1449"/>
      <c r="AM1044" s="1449"/>
      <c r="AN1044" s="1054" t="s">
        <v>35</v>
      </c>
      <c r="AO1044" s="1055">
        <v>2</v>
      </c>
      <c r="AP1044" s="1055" t="s">
        <v>8</v>
      </c>
      <c r="AQ1044" s="1444"/>
      <c r="AR1044" s="1056"/>
      <c r="AS1044" s="293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</row>
    <row r="1045" spans="1:86" s="53" customFormat="1" ht="22.5" hidden="1" customHeight="1" x14ac:dyDescent="0.2">
      <c r="A1045" s="1026"/>
      <c r="B1045" s="1447">
        <v>2240159</v>
      </c>
      <c r="C1045" s="1343" t="s">
        <v>154</v>
      </c>
      <c r="D1045" s="1459">
        <v>0.8</v>
      </c>
      <c r="E1045" s="1447">
        <v>4000</v>
      </c>
      <c r="F1045" s="1459">
        <v>0.8</v>
      </c>
      <c r="G1045" s="1447">
        <v>4000</v>
      </c>
      <c r="H1045" s="1056"/>
      <c r="I1045" s="1056"/>
      <c r="J1045" s="1056"/>
      <c r="K1045" s="1056"/>
      <c r="L1045" s="1056"/>
      <c r="M1045" s="1056"/>
      <c r="N1045" s="1056"/>
      <c r="O1045" s="1056"/>
      <c r="P1045" s="1056"/>
      <c r="Q1045" s="1056"/>
      <c r="R1045" s="1056"/>
      <c r="S1045" s="296"/>
      <c r="T1045" s="294"/>
      <c r="U1045" s="294"/>
      <c r="V1045" s="294"/>
      <c r="W1045" s="84"/>
      <c r="X1045" s="85"/>
      <c r="Y1045" s="295"/>
      <c r="Z1045" s="1035"/>
      <c r="AA1045" s="1035"/>
      <c r="AB1045" s="1154"/>
      <c r="AC1045" s="917"/>
      <c r="AD1045" s="917"/>
      <c r="AE1045" s="1035"/>
      <c r="AF1045" s="255"/>
      <c r="AG1045" s="255"/>
      <c r="AH1045" s="1041"/>
      <c r="AI1045" s="1027"/>
      <c r="AJ1045" s="1027"/>
      <c r="AK1045" s="256"/>
      <c r="AL1045" s="1447" t="s">
        <v>504</v>
      </c>
      <c r="AM1045" s="1447" t="s">
        <v>551</v>
      </c>
      <c r="AN1045" s="1456" t="s">
        <v>506</v>
      </c>
      <c r="AO1045" s="242">
        <v>0.8</v>
      </c>
      <c r="AP1045" s="1055" t="s">
        <v>2</v>
      </c>
      <c r="AQ1045" s="1442">
        <v>2590</v>
      </c>
      <c r="AR1045" s="251"/>
      <c r="AS1045" s="551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</row>
    <row r="1046" spans="1:86" s="53" customFormat="1" ht="22.5" hidden="1" customHeight="1" x14ac:dyDescent="0.2">
      <c r="A1046" s="1026"/>
      <c r="B1046" s="1448"/>
      <c r="C1046" s="1839"/>
      <c r="D1046" s="1460"/>
      <c r="E1046" s="1448"/>
      <c r="F1046" s="1460"/>
      <c r="G1046" s="1448"/>
      <c r="H1046" s="1056"/>
      <c r="I1046" s="1056"/>
      <c r="J1046" s="1056"/>
      <c r="K1046" s="1056"/>
      <c r="L1046" s="1056"/>
      <c r="M1046" s="1056"/>
      <c r="N1046" s="1056"/>
      <c r="O1046" s="1056"/>
      <c r="P1046" s="1056"/>
      <c r="Q1046" s="1056"/>
      <c r="R1046" s="1056"/>
      <c r="S1046" s="296"/>
      <c r="T1046" s="294"/>
      <c r="U1046" s="294"/>
      <c r="V1046" s="294"/>
      <c r="W1046" s="84"/>
      <c r="X1046" s="85"/>
      <c r="Y1046" s="295"/>
      <c r="Z1046" s="1035"/>
      <c r="AA1046" s="1035"/>
      <c r="AB1046" s="1154"/>
      <c r="AC1046" s="917"/>
      <c r="AD1046" s="917"/>
      <c r="AE1046" s="1035"/>
      <c r="AF1046" s="255"/>
      <c r="AG1046" s="255"/>
      <c r="AH1046" s="1041"/>
      <c r="AI1046" s="1027"/>
      <c r="AJ1046" s="1027"/>
      <c r="AK1046" s="256"/>
      <c r="AL1046" s="1448"/>
      <c r="AM1046" s="1448"/>
      <c r="AN1046" s="1479"/>
      <c r="AO1046" s="1055">
        <v>4000</v>
      </c>
      <c r="AP1046" s="1055" t="s">
        <v>507</v>
      </c>
      <c r="AQ1046" s="1443"/>
      <c r="AR1046" s="1055"/>
      <c r="AS1046" s="551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</row>
    <row r="1047" spans="1:86" s="53" customFormat="1" ht="22.5" hidden="1" customHeight="1" x14ac:dyDescent="0.2">
      <c r="A1047" s="1026"/>
      <c r="B1047" s="1449"/>
      <c r="C1047" s="1840"/>
      <c r="D1047" s="1461"/>
      <c r="E1047" s="1449"/>
      <c r="F1047" s="1461"/>
      <c r="G1047" s="1449"/>
      <c r="H1047" s="1056"/>
      <c r="I1047" s="1056"/>
      <c r="J1047" s="1056"/>
      <c r="K1047" s="1056"/>
      <c r="L1047" s="1056"/>
      <c r="M1047" s="1056"/>
      <c r="N1047" s="1056"/>
      <c r="O1047" s="1056"/>
      <c r="P1047" s="1056"/>
      <c r="Q1047" s="1056"/>
      <c r="R1047" s="1056"/>
      <c r="S1047" s="296"/>
      <c r="T1047" s="294"/>
      <c r="U1047" s="294"/>
      <c r="V1047" s="294"/>
      <c r="W1047" s="84"/>
      <c r="X1047" s="85"/>
      <c r="Y1047" s="295"/>
      <c r="Z1047" s="1035"/>
      <c r="AA1047" s="1035"/>
      <c r="AB1047" s="1154"/>
      <c r="AC1047" s="917"/>
      <c r="AD1047" s="917"/>
      <c r="AE1047" s="1035"/>
      <c r="AF1047" s="255"/>
      <c r="AG1047" s="255"/>
      <c r="AH1047" s="1041"/>
      <c r="AI1047" s="1027"/>
      <c r="AJ1047" s="1027"/>
      <c r="AK1047" s="256"/>
      <c r="AL1047" s="1449"/>
      <c r="AM1047" s="1449"/>
      <c r="AN1047" s="1054" t="s">
        <v>35</v>
      </c>
      <c r="AO1047" s="1055">
        <v>1</v>
      </c>
      <c r="AP1047" s="1055" t="s">
        <v>8</v>
      </c>
      <c r="AQ1047" s="1444"/>
      <c r="AR1047" s="1055"/>
      <c r="AS1047" s="551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</row>
    <row r="1048" spans="1:86" s="53" customFormat="1" ht="22.5" hidden="1" customHeight="1" x14ac:dyDescent="0.2">
      <c r="A1048" s="1026"/>
      <c r="B1048" s="1447">
        <v>22438795</v>
      </c>
      <c r="C1048" s="1343" t="s">
        <v>155</v>
      </c>
      <c r="D1048" s="1459">
        <v>0.5</v>
      </c>
      <c r="E1048" s="1447">
        <v>2500</v>
      </c>
      <c r="F1048" s="1459">
        <v>0.5</v>
      </c>
      <c r="G1048" s="1447">
        <v>2500</v>
      </c>
      <c r="H1048" s="1056"/>
      <c r="I1048" s="1056"/>
      <c r="J1048" s="1056"/>
      <c r="K1048" s="1056"/>
      <c r="L1048" s="1056"/>
      <c r="M1048" s="1056"/>
      <c r="N1048" s="1056"/>
      <c r="O1048" s="1056"/>
      <c r="P1048" s="1056"/>
      <c r="Q1048" s="1056"/>
      <c r="R1048" s="1056"/>
      <c r="S1048" s="296"/>
      <c r="T1048" s="294"/>
      <c r="U1048" s="294"/>
      <c r="V1048" s="294"/>
      <c r="W1048" s="84"/>
      <c r="X1048" s="85"/>
      <c r="Y1048" s="295"/>
      <c r="Z1048" s="1035"/>
      <c r="AA1048" s="1035"/>
      <c r="AB1048" s="1154"/>
      <c r="AC1048" s="917"/>
      <c r="AD1048" s="917"/>
      <c r="AE1048" s="1035"/>
      <c r="AF1048" s="255"/>
      <c r="AG1048" s="255"/>
      <c r="AH1048" s="1041"/>
      <c r="AI1048" s="1027"/>
      <c r="AJ1048" s="1027"/>
      <c r="AK1048" s="256"/>
      <c r="AL1048" s="1447" t="s">
        <v>504</v>
      </c>
      <c r="AM1048" s="1447" t="s">
        <v>546</v>
      </c>
      <c r="AN1048" s="1456" t="s">
        <v>506</v>
      </c>
      <c r="AO1048" s="242">
        <v>0.5</v>
      </c>
      <c r="AP1048" s="1055" t="s">
        <v>2</v>
      </c>
      <c r="AQ1048" s="1442">
        <v>2770</v>
      </c>
      <c r="AR1048" s="251"/>
      <c r="AS1048" s="551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</row>
    <row r="1049" spans="1:86" s="53" customFormat="1" ht="22.5" hidden="1" customHeight="1" x14ac:dyDescent="0.2">
      <c r="A1049" s="1026"/>
      <c r="B1049" s="1448"/>
      <c r="C1049" s="1839"/>
      <c r="D1049" s="1460"/>
      <c r="E1049" s="1448"/>
      <c r="F1049" s="1460"/>
      <c r="G1049" s="1448"/>
      <c r="H1049" s="1056"/>
      <c r="I1049" s="1056"/>
      <c r="J1049" s="1056"/>
      <c r="K1049" s="1056"/>
      <c r="L1049" s="1056"/>
      <c r="M1049" s="1056"/>
      <c r="N1049" s="1056"/>
      <c r="O1049" s="1056"/>
      <c r="P1049" s="1056"/>
      <c r="Q1049" s="1056"/>
      <c r="R1049" s="1056"/>
      <c r="S1049" s="296"/>
      <c r="T1049" s="294"/>
      <c r="U1049" s="294"/>
      <c r="V1049" s="294"/>
      <c r="W1049" s="84"/>
      <c r="X1049" s="85"/>
      <c r="Y1049" s="295"/>
      <c r="Z1049" s="1035"/>
      <c r="AA1049" s="1035"/>
      <c r="AB1049" s="1154"/>
      <c r="AC1049" s="917"/>
      <c r="AD1049" s="917"/>
      <c r="AE1049" s="1035"/>
      <c r="AF1049" s="255"/>
      <c r="AG1049" s="255"/>
      <c r="AH1049" s="1041"/>
      <c r="AI1049" s="1027"/>
      <c r="AJ1049" s="1027"/>
      <c r="AK1049" s="256"/>
      <c r="AL1049" s="1448"/>
      <c r="AM1049" s="1448"/>
      <c r="AN1049" s="1479"/>
      <c r="AO1049" s="1055">
        <v>2500</v>
      </c>
      <c r="AP1049" s="1055" t="s">
        <v>507</v>
      </c>
      <c r="AQ1049" s="1443"/>
      <c r="AR1049" s="1055"/>
      <c r="AS1049" s="551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</row>
    <row r="1050" spans="1:86" s="53" customFormat="1" ht="22.5" hidden="1" customHeight="1" x14ac:dyDescent="0.2">
      <c r="A1050" s="1026"/>
      <c r="B1050" s="1449"/>
      <c r="C1050" s="1840"/>
      <c r="D1050" s="1461"/>
      <c r="E1050" s="1449"/>
      <c r="F1050" s="1461"/>
      <c r="G1050" s="1449"/>
      <c r="H1050" s="1056"/>
      <c r="I1050" s="1056"/>
      <c r="J1050" s="1056"/>
      <c r="K1050" s="1056"/>
      <c r="L1050" s="1056"/>
      <c r="M1050" s="1056"/>
      <c r="N1050" s="1056"/>
      <c r="O1050" s="1056"/>
      <c r="P1050" s="1056"/>
      <c r="Q1050" s="1056"/>
      <c r="R1050" s="1056"/>
      <c r="S1050" s="296"/>
      <c r="T1050" s="294"/>
      <c r="U1050" s="294"/>
      <c r="V1050" s="294"/>
      <c r="W1050" s="84"/>
      <c r="X1050" s="85"/>
      <c r="Y1050" s="295"/>
      <c r="Z1050" s="1035"/>
      <c r="AA1050" s="1035"/>
      <c r="AB1050" s="1154"/>
      <c r="AC1050" s="917"/>
      <c r="AD1050" s="917"/>
      <c r="AE1050" s="1035"/>
      <c r="AF1050" s="255"/>
      <c r="AG1050" s="255"/>
      <c r="AH1050" s="1041"/>
      <c r="AI1050" s="1027"/>
      <c r="AJ1050" s="1027"/>
      <c r="AK1050" s="256"/>
      <c r="AL1050" s="1449"/>
      <c r="AM1050" s="1449"/>
      <c r="AN1050" s="1054" t="s">
        <v>35</v>
      </c>
      <c r="AO1050" s="1055">
        <v>8</v>
      </c>
      <c r="AP1050" s="1055" t="s">
        <v>8</v>
      </c>
      <c r="AQ1050" s="1444"/>
      <c r="AR1050" s="1055"/>
      <c r="AS1050" s="551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</row>
    <row r="1051" spans="1:86" s="53" customFormat="1" ht="22.5" customHeight="1" x14ac:dyDescent="0.2">
      <c r="A1051" s="1393">
        <v>28</v>
      </c>
      <c r="B1051" s="1447">
        <v>2242408</v>
      </c>
      <c r="C1051" s="1343" t="s">
        <v>156</v>
      </c>
      <c r="D1051" s="1459">
        <v>0.8</v>
      </c>
      <c r="E1051" s="1447">
        <v>4000</v>
      </c>
      <c r="F1051" s="1459">
        <v>0.8</v>
      </c>
      <c r="G1051" s="1447">
        <v>4000</v>
      </c>
      <c r="H1051" s="1056"/>
      <c r="I1051" s="1056"/>
      <c r="J1051" s="1056"/>
      <c r="K1051" s="1056"/>
      <c r="L1051" s="1056"/>
      <c r="M1051" s="1056"/>
      <c r="N1051" s="1056"/>
      <c r="O1051" s="1056"/>
      <c r="P1051" s="1056"/>
      <c r="Q1051" s="1056"/>
      <c r="R1051" s="1056"/>
      <c r="S1051" s="296"/>
      <c r="T1051" s="294"/>
      <c r="U1051" s="294"/>
      <c r="V1051" s="294"/>
      <c r="W1051" s="84"/>
      <c r="X1051" s="85"/>
      <c r="Y1051" s="295"/>
      <c r="Z1051" s="1447" t="s">
        <v>441</v>
      </c>
      <c r="AA1051" s="1447" t="s">
        <v>553</v>
      </c>
      <c r="AB1051" s="1456" t="s">
        <v>506</v>
      </c>
      <c r="AC1051" s="242">
        <v>1.1000000000000001</v>
      </c>
      <c r="AD1051" s="1055" t="s">
        <v>2</v>
      </c>
      <c r="AE1051" s="1442">
        <v>11883.113740000001</v>
      </c>
      <c r="AF1051" s="255"/>
      <c r="AG1051" s="255"/>
      <c r="AH1051" s="1041"/>
      <c r="AI1051" s="1027"/>
      <c r="AJ1051" s="1027"/>
      <c r="AK1051" s="256"/>
      <c r="AL1051" s="243"/>
      <c r="AM1051" s="243"/>
      <c r="AN1051" s="244"/>
      <c r="AO1051" s="242"/>
      <c r="AP1051" s="1055"/>
      <c r="AQ1051" s="687"/>
      <c r="AR1051" s="251"/>
      <c r="AS1051" s="551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</row>
    <row r="1052" spans="1:86" s="53" customFormat="1" ht="22.5" customHeight="1" x14ac:dyDescent="0.2">
      <c r="A1052" s="1394"/>
      <c r="B1052" s="1448"/>
      <c r="C1052" s="1839"/>
      <c r="D1052" s="1460"/>
      <c r="E1052" s="1448"/>
      <c r="F1052" s="1460"/>
      <c r="G1052" s="1448"/>
      <c r="H1052" s="1056"/>
      <c r="I1052" s="1056"/>
      <c r="J1052" s="1056"/>
      <c r="K1052" s="1056"/>
      <c r="L1052" s="1056"/>
      <c r="M1052" s="1056"/>
      <c r="N1052" s="1056"/>
      <c r="O1052" s="1056"/>
      <c r="P1052" s="1056"/>
      <c r="Q1052" s="1056"/>
      <c r="R1052" s="1056"/>
      <c r="S1052" s="296"/>
      <c r="T1052" s="294"/>
      <c r="U1052" s="294"/>
      <c r="V1052" s="294"/>
      <c r="W1052" s="84"/>
      <c r="X1052" s="85"/>
      <c r="Y1052" s="295"/>
      <c r="Z1052" s="1448"/>
      <c r="AA1052" s="1448"/>
      <c r="AB1052" s="1479"/>
      <c r="AC1052" s="1055">
        <v>4000</v>
      </c>
      <c r="AD1052" s="1055" t="s">
        <v>507</v>
      </c>
      <c r="AE1052" s="1443"/>
      <c r="AF1052" s="255"/>
      <c r="AG1052" s="255"/>
      <c r="AH1052" s="1041"/>
      <c r="AI1052" s="1027"/>
      <c r="AJ1052" s="1027"/>
      <c r="AK1052" s="256"/>
      <c r="AL1052" s="243"/>
      <c r="AM1052" s="243"/>
      <c r="AN1052" s="244"/>
      <c r="AO1052" s="1055"/>
      <c r="AP1052" s="1055"/>
      <c r="AQ1052" s="687"/>
      <c r="AR1052" s="1055"/>
      <c r="AS1052" s="551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</row>
    <row r="1053" spans="1:86" s="53" customFormat="1" ht="22.5" hidden="1" customHeight="1" x14ac:dyDescent="0.2">
      <c r="A1053" s="1026"/>
      <c r="B1053" s="1449"/>
      <c r="C1053" s="1840"/>
      <c r="D1053" s="1461"/>
      <c r="E1053" s="1449"/>
      <c r="F1053" s="1461"/>
      <c r="G1053" s="1449"/>
      <c r="H1053" s="1056"/>
      <c r="I1053" s="1056"/>
      <c r="J1053" s="1056"/>
      <c r="K1053" s="1056"/>
      <c r="L1053" s="1056"/>
      <c r="M1053" s="1056"/>
      <c r="N1053" s="1056"/>
      <c r="O1053" s="1056"/>
      <c r="P1053" s="1056"/>
      <c r="Q1053" s="1056"/>
      <c r="R1053" s="1056"/>
      <c r="S1053" s="296"/>
      <c r="T1053" s="294"/>
      <c r="U1053" s="294"/>
      <c r="V1053" s="294"/>
      <c r="W1053" s="84"/>
      <c r="X1053" s="85"/>
      <c r="Y1053" s="295"/>
      <c r="Z1053" s="1449"/>
      <c r="AA1053" s="1449"/>
      <c r="AB1053" s="1054" t="s">
        <v>35</v>
      </c>
      <c r="AC1053" s="1055">
        <v>16</v>
      </c>
      <c r="AD1053" s="1055" t="s">
        <v>8</v>
      </c>
      <c r="AE1053" s="1444"/>
      <c r="AF1053" s="255"/>
      <c r="AG1053" s="255"/>
      <c r="AH1053" s="1041"/>
      <c r="AI1053" s="1027"/>
      <c r="AJ1053" s="1027"/>
      <c r="AK1053" s="256"/>
      <c r="AL1053" s="243"/>
      <c r="AM1053" s="243"/>
      <c r="AN1053" s="1054"/>
      <c r="AO1053" s="1055"/>
      <c r="AP1053" s="1055"/>
      <c r="AQ1053" s="687"/>
      <c r="AR1053" s="1055"/>
      <c r="AS1053" s="551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</row>
    <row r="1054" spans="1:86" s="53" customFormat="1" ht="22.5" hidden="1" customHeight="1" x14ac:dyDescent="0.2">
      <c r="A1054" s="1026"/>
      <c r="B1054" s="1447">
        <v>2243803</v>
      </c>
      <c r="C1054" s="1343" t="s">
        <v>157</v>
      </c>
      <c r="D1054" s="1459">
        <v>0.5</v>
      </c>
      <c r="E1054" s="1447">
        <v>2500</v>
      </c>
      <c r="F1054" s="1459">
        <v>0.5</v>
      </c>
      <c r="G1054" s="1447">
        <v>2500</v>
      </c>
      <c r="H1054" s="1056"/>
      <c r="I1054" s="1056"/>
      <c r="J1054" s="1056"/>
      <c r="K1054" s="1056"/>
      <c r="L1054" s="1056"/>
      <c r="M1054" s="1056"/>
      <c r="N1054" s="1056"/>
      <c r="O1054" s="1056"/>
      <c r="P1054" s="1056"/>
      <c r="Q1054" s="1056"/>
      <c r="R1054" s="1056"/>
      <c r="S1054" s="296"/>
      <c r="T1054" s="294"/>
      <c r="U1054" s="294"/>
      <c r="V1054" s="294"/>
      <c r="W1054" s="84"/>
      <c r="X1054" s="85"/>
      <c r="Y1054" s="295"/>
      <c r="Z1054" s="1035"/>
      <c r="AA1054" s="1035"/>
      <c r="AB1054" s="1154"/>
      <c r="AC1054" s="917"/>
      <c r="AD1054" s="917"/>
      <c r="AE1054" s="1035"/>
      <c r="AF1054" s="255"/>
      <c r="AG1054" s="255"/>
      <c r="AH1054" s="1041"/>
      <c r="AI1054" s="1027"/>
      <c r="AJ1054" s="1027"/>
      <c r="AK1054" s="256"/>
      <c r="AL1054" s="1447" t="s">
        <v>504</v>
      </c>
      <c r="AM1054" s="1447" t="s">
        <v>546</v>
      </c>
      <c r="AN1054" s="1456" t="s">
        <v>506</v>
      </c>
      <c r="AO1054" s="242">
        <v>0.5</v>
      </c>
      <c r="AP1054" s="1055" t="s">
        <v>2</v>
      </c>
      <c r="AQ1054" s="1442">
        <v>1600</v>
      </c>
      <c r="AR1054" s="251"/>
      <c r="AS1054" s="551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</row>
    <row r="1055" spans="1:86" s="53" customFormat="1" ht="22.5" hidden="1" customHeight="1" x14ac:dyDescent="0.2">
      <c r="A1055" s="1026"/>
      <c r="B1055" s="1449"/>
      <c r="C1055" s="1840"/>
      <c r="D1055" s="1461"/>
      <c r="E1055" s="1449"/>
      <c r="F1055" s="1461"/>
      <c r="G1055" s="1449"/>
      <c r="H1055" s="1056"/>
      <c r="I1055" s="1056"/>
      <c r="J1055" s="1056"/>
      <c r="K1055" s="1056"/>
      <c r="L1055" s="1056"/>
      <c r="M1055" s="1056"/>
      <c r="N1055" s="1056"/>
      <c r="O1055" s="1056"/>
      <c r="P1055" s="1056"/>
      <c r="Q1055" s="1056"/>
      <c r="R1055" s="1056"/>
      <c r="S1055" s="296"/>
      <c r="T1055" s="294"/>
      <c r="U1055" s="294"/>
      <c r="V1055" s="294"/>
      <c r="W1055" s="84"/>
      <c r="X1055" s="85"/>
      <c r="Y1055" s="295"/>
      <c r="Z1055" s="1035"/>
      <c r="AA1055" s="1035"/>
      <c r="AB1055" s="1154"/>
      <c r="AC1055" s="917"/>
      <c r="AD1055" s="917"/>
      <c r="AE1055" s="1035"/>
      <c r="AF1055" s="255"/>
      <c r="AG1055" s="255"/>
      <c r="AH1055" s="1041"/>
      <c r="AI1055" s="1027"/>
      <c r="AJ1055" s="1027"/>
      <c r="AK1055" s="256"/>
      <c r="AL1055" s="1449"/>
      <c r="AM1055" s="1449"/>
      <c r="AN1055" s="1479"/>
      <c r="AO1055" s="1055">
        <v>2500</v>
      </c>
      <c r="AP1055" s="1055" t="s">
        <v>507</v>
      </c>
      <c r="AQ1055" s="1444"/>
      <c r="AR1055" s="1055"/>
      <c r="AS1055" s="551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</row>
    <row r="1056" spans="1:86" s="53" customFormat="1" ht="22.5" hidden="1" customHeight="1" x14ac:dyDescent="0.2">
      <c r="A1056" s="1026"/>
      <c r="B1056" s="1447">
        <v>3405524</v>
      </c>
      <c r="C1056" s="1660" t="s">
        <v>662</v>
      </c>
      <c r="D1056" s="1868">
        <v>1.752</v>
      </c>
      <c r="E1056" s="1866">
        <v>7875</v>
      </c>
      <c r="F1056" s="1868">
        <v>1.752</v>
      </c>
      <c r="G1056" s="1866">
        <v>7875</v>
      </c>
      <c r="H1056" s="1056"/>
      <c r="I1056" s="1056"/>
      <c r="J1056" s="1056"/>
      <c r="K1056" s="1056"/>
      <c r="L1056" s="1056"/>
      <c r="M1056" s="1056"/>
      <c r="N1056" s="1056"/>
      <c r="O1056" s="1056"/>
      <c r="P1056" s="1056"/>
      <c r="Q1056" s="1056"/>
      <c r="R1056" s="1056"/>
      <c r="S1056" s="296"/>
      <c r="T1056" s="294"/>
      <c r="U1056" s="294"/>
      <c r="V1056" s="294"/>
      <c r="W1056" s="84"/>
      <c r="X1056" s="85"/>
      <c r="Y1056" s="295"/>
      <c r="Z1056" s="1056"/>
      <c r="AA1056" s="1056"/>
      <c r="AB1056" s="1056"/>
      <c r="AC1056" s="1056"/>
      <c r="AD1056" s="1056"/>
      <c r="AE1056" s="1056"/>
      <c r="AF1056" s="1056"/>
      <c r="AG1056" s="1056"/>
      <c r="AH1056" s="1056"/>
      <c r="AI1056" s="1056"/>
      <c r="AJ1056" s="1056"/>
      <c r="AK1056" s="1056"/>
      <c r="AL1056" s="1355" t="s">
        <v>504</v>
      </c>
      <c r="AM1056" s="1500" t="s">
        <v>666</v>
      </c>
      <c r="AN1056" s="1500" t="s">
        <v>495</v>
      </c>
      <c r="AO1056" s="257">
        <v>1.752</v>
      </c>
      <c r="AP1056" s="1040" t="s">
        <v>2</v>
      </c>
      <c r="AQ1056" s="2047">
        <v>10525</v>
      </c>
      <c r="AR1056" s="29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</row>
    <row r="1057" spans="1:86" s="53" customFormat="1" ht="22.5" hidden="1" customHeight="1" x14ac:dyDescent="0.2">
      <c r="A1057" s="1026"/>
      <c r="B1057" s="1658"/>
      <c r="C1057" s="1413"/>
      <c r="D1057" s="1430"/>
      <c r="E1057" s="1400"/>
      <c r="F1057" s="1430"/>
      <c r="G1057" s="1400"/>
      <c r="H1057" s="1056"/>
      <c r="I1057" s="1056"/>
      <c r="J1057" s="1056"/>
      <c r="K1057" s="1056"/>
      <c r="L1057" s="1056"/>
      <c r="M1057" s="1056"/>
      <c r="N1057" s="1056"/>
      <c r="O1057" s="1056"/>
      <c r="P1057" s="1056"/>
      <c r="Q1057" s="1056"/>
      <c r="R1057" s="1056"/>
      <c r="S1057" s="296"/>
      <c r="T1057" s="294"/>
      <c r="U1057" s="294"/>
      <c r="V1057" s="294"/>
      <c r="W1057" s="84"/>
      <c r="X1057" s="85"/>
      <c r="Y1057" s="295"/>
      <c r="Z1057" s="1056"/>
      <c r="AA1057" s="1056"/>
      <c r="AB1057" s="1056"/>
      <c r="AC1057" s="1056"/>
      <c r="AD1057" s="1056"/>
      <c r="AE1057" s="1056"/>
      <c r="AF1057" s="1056"/>
      <c r="AG1057" s="1056"/>
      <c r="AH1057" s="1056"/>
      <c r="AI1057" s="1056"/>
      <c r="AJ1057" s="1056"/>
      <c r="AK1057" s="1056"/>
      <c r="AL1057" s="1445"/>
      <c r="AM1057" s="1501"/>
      <c r="AN1057" s="1502"/>
      <c r="AO1057" s="1040">
        <v>7875</v>
      </c>
      <c r="AP1057" s="1040" t="s">
        <v>4</v>
      </c>
      <c r="AQ1057" s="2048"/>
      <c r="AR1057" s="1056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</row>
    <row r="1058" spans="1:86" s="53" customFormat="1" ht="22.5" hidden="1" customHeight="1" x14ac:dyDescent="0.2">
      <c r="A1058" s="1026"/>
      <c r="B1058" s="1659"/>
      <c r="C1058" s="1661"/>
      <c r="D1058" s="1869"/>
      <c r="E1058" s="1867"/>
      <c r="F1058" s="1869"/>
      <c r="G1058" s="1867"/>
      <c r="H1058" s="1056"/>
      <c r="I1058" s="1056"/>
      <c r="J1058" s="1056"/>
      <c r="K1058" s="1056"/>
      <c r="L1058" s="1056"/>
      <c r="M1058" s="1056"/>
      <c r="N1058" s="1056"/>
      <c r="O1058" s="1056"/>
      <c r="P1058" s="1056"/>
      <c r="Q1058" s="1056"/>
      <c r="R1058" s="1056"/>
      <c r="S1058" s="296"/>
      <c r="T1058" s="294"/>
      <c r="U1058" s="294"/>
      <c r="V1058" s="294"/>
      <c r="W1058" s="84"/>
      <c r="X1058" s="85"/>
      <c r="Y1058" s="295"/>
      <c r="Z1058" s="1056"/>
      <c r="AA1058" s="1056"/>
      <c r="AB1058" s="1056"/>
      <c r="AC1058" s="1056"/>
      <c r="AD1058" s="1056"/>
      <c r="AE1058" s="1056"/>
      <c r="AF1058" s="1056"/>
      <c r="AG1058" s="1056"/>
      <c r="AH1058" s="1056"/>
      <c r="AI1058" s="1056"/>
      <c r="AJ1058" s="1056"/>
      <c r="AK1058" s="1056"/>
      <c r="AL1058" s="1446"/>
      <c r="AM1058" s="1502"/>
      <c r="AN1058" s="1040" t="s">
        <v>35</v>
      </c>
      <c r="AO1058" s="1040">
        <v>6</v>
      </c>
      <c r="AP1058" s="1040" t="s">
        <v>8</v>
      </c>
      <c r="AQ1058" s="2049"/>
      <c r="AR1058" s="1056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</row>
    <row r="1059" spans="1:86" s="53" customFormat="1" ht="22.5" hidden="1" customHeight="1" x14ac:dyDescent="0.2">
      <c r="A1059" s="1026"/>
      <c r="B1059" s="1462">
        <v>2243740</v>
      </c>
      <c r="C1059" s="1343" t="s">
        <v>133</v>
      </c>
      <c r="D1059" s="1475">
        <v>1.3</v>
      </c>
      <c r="E1059" s="1462">
        <v>6500</v>
      </c>
      <c r="F1059" s="1475">
        <v>1.3</v>
      </c>
      <c r="G1059" s="1462">
        <v>6500</v>
      </c>
      <c r="H1059" s="1056"/>
      <c r="I1059" s="1056"/>
      <c r="J1059" s="1056"/>
      <c r="K1059" s="1056"/>
      <c r="L1059" s="1056"/>
      <c r="M1059" s="1056"/>
      <c r="N1059" s="1056"/>
      <c r="O1059" s="1056"/>
      <c r="P1059" s="1056"/>
      <c r="Q1059" s="1056"/>
      <c r="R1059" s="1056"/>
      <c r="S1059" s="296"/>
      <c r="T1059" s="294"/>
      <c r="U1059" s="294"/>
      <c r="V1059" s="294"/>
      <c r="W1059" s="84"/>
      <c r="X1059" s="85"/>
      <c r="Y1059" s="295"/>
      <c r="Z1059" s="1056"/>
      <c r="AA1059" s="1056"/>
      <c r="AB1059" s="1056"/>
      <c r="AC1059" s="1056"/>
      <c r="AD1059" s="1056"/>
      <c r="AE1059" s="1056"/>
      <c r="AF1059" s="1056"/>
      <c r="AG1059" s="1056"/>
      <c r="AH1059" s="1056"/>
      <c r="AI1059" s="1056"/>
      <c r="AJ1059" s="1056"/>
      <c r="AK1059" s="1056"/>
      <c r="AL1059" s="1355" t="s">
        <v>504</v>
      </c>
      <c r="AM1059" s="1447" t="s">
        <v>552</v>
      </c>
      <c r="AN1059" s="1456" t="s">
        <v>506</v>
      </c>
      <c r="AO1059" s="242">
        <v>1.3</v>
      </c>
      <c r="AP1059" s="1055" t="s">
        <v>2</v>
      </c>
      <c r="AQ1059" s="1442">
        <v>7480</v>
      </c>
      <c r="AR1059" s="29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</row>
    <row r="1060" spans="1:86" s="53" customFormat="1" ht="22.5" hidden="1" customHeight="1" x14ac:dyDescent="0.2">
      <c r="A1060" s="1026"/>
      <c r="B1060" s="1402"/>
      <c r="C1060" s="1531"/>
      <c r="D1060" s="1451"/>
      <c r="E1060" s="1402"/>
      <c r="F1060" s="1451"/>
      <c r="G1060" s="1402"/>
      <c r="H1060" s="1056"/>
      <c r="I1060" s="1056"/>
      <c r="J1060" s="1056"/>
      <c r="K1060" s="1056"/>
      <c r="L1060" s="1056"/>
      <c r="M1060" s="1056"/>
      <c r="N1060" s="1056"/>
      <c r="O1060" s="1056"/>
      <c r="P1060" s="1056"/>
      <c r="Q1060" s="1056"/>
      <c r="R1060" s="1056"/>
      <c r="S1060" s="296"/>
      <c r="T1060" s="294"/>
      <c r="U1060" s="294"/>
      <c r="V1060" s="294"/>
      <c r="W1060" s="84"/>
      <c r="X1060" s="85"/>
      <c r="Y1060" s="295"/>
      <c r="Z1060" s="1056"/>
      <c r="AA1060" s="1056"/>
      <c r="AB1060" s="1056"/>
      <c r="AC1060" s="1056"/>
      <c r="AD1060" s="1056"/>
      <c r="AE1060" s="1056"/>
      <c r="AF1060" s="1056"/>
      <c r="AG1060" s="1056"/>
      <c r="AH1060" s="1056"/>
      <c r="AI1060" s="1056"/>
      <c r="AJ1060" s="1056"/>
      <c r="AK1060" s="1056"/>
      <c r="AL1060" s="1445"/>
      <c r="AM1060" s="1448"/>
      <c r="AN1060" s="1479"/>
      <c r="AO1060" s="1055">
        <v>6500</v>
      </c>
      <c r="AP1060" s="1055" t="s">
        <v>507</v>
      </c>
      <c r="AQ1060" s="1443"/>
      <c r="AR1060" s="1056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</row>
    <row r="1061" spans="1:86" s="53" customFormat="1" ht="11.65" hidden="1" customHeight="1" x14ac:dyDescent="0.2">
      <c r="A1061" s="1026"/>
      <c r="B1061" s="1463"/>
      <c r="C1061" s="1532"/>
      <c r="D1061" s="1476"/>
      <c r="E1061" s="1463"/>
      <c r="F1061" s="1476"/>
      <c r="G1061" s="1463"/>
      <c r="H1061" s="1056"/>
      <c r="I1061" s="1056"/>
      <c r="J1061" s="1056"/>
      <c r="K1061" s="1056"/>
      <c r="L1061" s="1056"/>
      <c r="M1061" s="1056"/>
      <c r="N1061" s="1056"/>
      <c r="O1061" s="1056"/>
      <c r="P1061" s="1056"/>
      <c r="Q1061" s="1056"/>
      <c r="R1061" s="1056"/>
      <c r="S1061" s="296"/>
      <c r="T1061" s="294"/>
      <c r="U1061" s="294"/>
      <c r="V1061" s="294"/>
      <c r="W1061" s="84"/>
      <c r="X1061" s="85"/>
      <c r="Y1061" s="295"/>
      <c r="Z1061" s="1056"/>
      <c r="AA1061" s="1056"/>
      <c r="AB1061" s="1056"/>
      <c r="AC1061" s="1056"/>
      <c r="AD1061" s="1056"/>
      <c r="AE1061" s="1056"/>
      <c r="AF1061" s="1056"/>
      <c r="AG1061" s="1056"/>
      <c r="AH1061" s="1056"/>
      <c r="AI1061" s="1056"/>
      <c r="AJ1061" s="1056"/>
      <c r="AK1061" s="1056"/>
      <c r="AL1061" s="1446"/>
      <c r="AM1061" s="1449"/>
      <c r="AN1061" s="1054" t="s">
        <v>35</v>
      </c>
      <c r="AO1061" s="1055">
        <v>22</v>
      </c>
      <c r="AP1061" s="1055" t="s">
        <v>8</v>
      </c>
      <c r="AQ1061" s="1444"/>
      <c r="AR1061" s="1056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</row>
    <row r="1062" spans="1:86" s="53" customFormat="1" ht="22.5" customHeight="1" x14ac:dyDescent="0.2">
      <c r="A1062" s="1393">
        <v>29</v>
      </c>
      <c r="B1062" s="1462">
        <v>2241500</v>
      </c>
      <c r="C1062" s="2469" t="s">
        <v>657</v>
      </c>
      <c r="D1062" s="2470">
        <v>0.24199999999999999</v>
      </c>
      <c r="E1062" s="2082">
        <v>1090</v>
      </c>
      <c r="F1062" s="2470">
        <v>0.24199999999999999</v>
      </c>
      <c r="G1062" s="2082">
        <v>1090</v>
      </c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709"/>
      <c r="T1062" s="690"/>
      <c r="U1062" s="294"/>
      <c r="V1062" s="294"/>
      <c r="W1062" s="84"/>
      <c r="X1062" s="85"/>
      <c r="Y1062" s="295"/>
      <c r="Z1062" s="1300" t="s">
        <v>441</v>
      </c>
      <c r="AA1062" s="1300" t="s">
        <v>1548</v>
      </c>
      <c r="AB1062" s="1500" t="s">
        <v>495</v>
      </c>
      <c r="AC1062" s="1044">
        <v>0.44500000000000001</v>
      </c>
      <c r="AD1062" s="1044" t="s">
        <v>2</v>
      </c>
      <c r="AE1062" s="2471">
        <v>4503.0627999999997</v>
      </c>
      <c r="AF1062" s="214"/>
      <c r="AG1062" s="214"/>
      <c r="AH1062" s="1040"/>
      <c r="AI1062" s="1044"/>
      <c r="AJ1062" s="1044"/>
      <c r="AK1062" s="252"/>
      <c r="AL1062" s="214"/>
      <c r="AM1062" s="214"/>
      <c r="AN1062" s="249"/>
      <c r="AO1062" s="1044"/>
      <c r="AP1062" s="1044"/>
      <c r="AQ1062" s="688"/>
      <c r="AR1062" s="295"/>
      <c r="AS1062" s="799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</row>
    <row r="1063" spans="1:86" s="53" customFormat="1" ht="22.5" customHeight="1" x14ac:dyDescent="0.2">
      <c r="A1063" s="1394"/>
      <c r="B1063" s="1402"/>
      <c r="C1063" s="2469"/>
      <c r="D1063" s="2470"/>
      <c r="E1063" s="2082"/>
      <c r="F1063" s="2470"/>
      <c r="G1063" s="2082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709"/>
      <c r="T1063" s="690"/>
      <c r="U1063" s="294"/>
      <c r="V1063" s="294"/>
      <c r="W1063" s="84"/>
      <c r="X1063" s="85"/>
      <c r="Y1063" s="295"/>
      <c r="Z1063" s="1213"/>
      <c r="AA1063" s="1213"/>
      <c r="AB1063" s="1457"/>
      <c r="AC1063" s="1044">
        <v>1090</v>
      </c>
      <c r="AD1063" s="1044" t="s">
        <v>4</v>
      </c>
      <c r="AE1063" s="2471"/>
      <c r="AF1063" s="214"/>
      <c r="AG1063" s="214"/>
      <c r="AH1063" s="1040"/>
      <c r="AI1063" s="1044"/>
      <c r="AJ1063" s="1044"/>
      <c r="AK1063" s="252"/>
      <c r="AL1063" s="214"/>
      <c r="AM1063" s="48"/>
      <c r="AN1063" s="49"/>
      <c r="AO1063" s="1044"/>
      <c r="AP1063" s="1044"/>
      <c r="AQ1063" s="688"/>
      <c r="AR1063" s="295"/>
      <c r="AS1063" s="799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</row>
    <row r="1064" spans="1:86" s="53" customFormat="1" ht="31.5" customHeight="1" x14ac:dyDescent="0.2">
      <c r="A1064" s="1393">
        <v>30</v>
      </c>
      <c r="B1064" s="1285">
        <v>2242583</v>
      </c>
      <c r="C1064" s="1343" t="s">
        <v>670</v>
      </c>
      <c r="D1064" s="1472">
        <v>0.81599999999999995</v>
      </c>
      <c r="E1064" s="1470">
        <v>3600</v>
      </c>
      <c r="F1064" s="1472">
        <v>0.81599999999999995</v>
      </c>
      <c r="G1064" s="1470">
        <v>3600</v>
      </c>
      <c r="H1064" s="1056"/>
      <c r="I1064" s="1056"/>
      <c r="J1064" s="1056"/>
      <c r="K1064" s="1056"/>
      <c r="L1064" s="1056"/>
      <c r="M1064" s="1056"/>
      <c r="N1064" s="1056"/>
      <c r="O1064" s="1056"/>
      <c r="P1064" s="1056"/>
      <c r="Q1064" s="1056"/>
      <c r="R1064" s="1056"/>
      <c r="S1064" s="296"/>
      <c r="T1064" s="294"/>
      <c r="U1064" s="294"/>
      <c r="V1064" s="294"/>
      <c r="W1064" s="84"/>
      <c r="X1064" s="85"/>
      <c r="Y1064" s="295"/>
      <c r="Z1064" s="776"/>
      <c r="AA1064" s="776"/>
      <c r="AB1064" s="244"/>
      <c r="AC1064" s="85"/>
      <c r="AD1064" s="1055"/>
      <c r="AE1064" s="776"/>
      <c r="AF1064" s="1477" t="s">
        <v>441</v>
      </c>
      <c r="AG1064" s="1477" t="s">
        <v>1525</v>
      </c>
      <c r="AH1064" s="1456" t="s">
        <v>506</v>
      </c>
      <c r="AI1064" s="1056">
        <v>0.81599999999999995</v>
      </c>
      <c r="AJ1064" s="1055" t="s">
        <v>2</v>
      </c>
      <c r="AK1064" s="1477">
        <v>11000</v>
      </c>
      <c r="AL1064" s="1056"/>
      <c r="AM1064" s="1056"/>
      <c r="AN1064" s="1056"/>
      <c r="AO1064" s="1056"/>
      <c r="AP1064" s="1056"/>
      <c r="AQ1064" s="1056"/>
      <c r="AR1064" s="1056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</row>
    <row r="1065" spans="1:86" s="53" customFormat="1" ht="26.25" customHeight="1" x14ac:dyDescent="0.2">
      <c r="A1065" s="1394"/>
      <c r="B1065" s="1213"/>
      <c r="C1065" s="1273"/>
      <c r="D1065" s="1473"/>
      <c r="E1065" s="1471"/>
      <c r="F1065" s="1473"/>
      <c r="G1065" s="1471"/>
      <c r="H1065" s="85"/>
      <c r="I1065" s="85"/>
      <c r="J1065" s="85"/>
      <c r="K1065" s="85"/>
      <c r="L1065" s="85"/>
      <c r="M1065" s="85"/>
      <c r="N1065" s="1056"/>
      <c r="O1065" s="1056"/>
      <c r="P1065" s="1056"/>
      <c r="Q1065" s="1056"/>
      <c r="R1065" s="1056"/>
      <c r="S1065" s="296"/>
      <c r="T1065" s="294"/>
      <c r="U1065" s="294"/>
      <c r="V1065" s="294"/>
      <c r="W1065" s="84"/>
      <c r="X1065" s="85"/>
      <c r="Y1065" s="295"/>
      <c r="Z1065" s="776"/>
      <c r="AA1065" s="776"/>
      <c r="AB1065" s="244"/>
      <c r="AC1065" s="85"/>
      <c r="AD1065" s="1055"/>
      <c r="AE1065" s="776"/>
      <c r="AF1065" s="1478"/>
      <c r="AG1065" s="1478"/>
      <c r="AH1065" s="1479"/>
      <c r="AI1065" s="296">
        <v>3600</v>
      </c>
      <c r="AJ1065" s="1055" t="s">
        <v>507</v>
      </c>
      <c r="AK1065" s="1478"/>
      <c r="AL1065" s="1035"/>
      <c r="AM1065" s="1027"/>
      <c r="AN1065" s="1041"/>
      <c r="AO1065" s="1027"/>
      <c r="AP1065" s="1027"/>
      <c r="AQ1065" s="1053"/>
      <c r="AR1065" s="1056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</row>
    <row r="1066" spans="1:86" s="53" customFormat="1" ht="28.5" customHeight="1" x14ac:dyDescent="0.2">
      <c r="A1066" s="1393">
        <v>31</v>
      </c>
      <c r="B1066" s="1285">
        <v>2242028</v>
      </c>
      <c r="C1066" s="1343" t="s">
        <v>967</v>
      </c>
      <c r="D1066" s="1472">
        <v>1.5</v>
      </c>
      <c r="E1066" s="1470">
        <v>7500</v>
      </c>
      <c r="F1066" s="1472">
        <v>1.5</v>
      </c>
      <c r="G1066" s="1462">
        <v>7500</v>
      </c>
      <c r="H1066" s="85"/>
      <c r="I1066" s="85"/>
      <c r="J1066" s="85"/>
      <c r="K1066" s="85"/>
      <c r="L1066" s="85"/>
      <c r="M1066" s="85"/>
      <c r="N1066" s="1056"/>
      <c r="O1066" s="1056"/>
      <c r="P1066" s="1056"/>
      <c r="Q1066" s="1056"/>
      <c r="R1066" s="1056"/>
      <c r="S1066" s="296"/>
      <c r="T1066" s="294"/>
      <c r="U1066" s="294"/>
      <c r="V1066" s="294"/>
      <c r="W1066" s="84"/>
      <c r="X1066" s="85"/>
      <c r="Y1066" s="295"/>
      <c r="Z1066" s="85"/>
      <c r="AA1066" s="85"/>
      <c r="AB1066" s="85"/>
      <c r="AC1066" s="85"/>
      <c r="AD1066" s="85"/>
      <c r="AE1066" s="85"/>
      <c r="AF1066" s="1477" t="s">
        <v>441</v>
      </c>
      <c r="AG1066" s="1477" t="s">
        <v>1421</v>
      </c>
      <c r="AH1066" s="1456" t="s">
        <v>506</v>
      </c>
      <c r="AI1066" s="85">
        <v>1.5</v>
      </c>
      <c r="AJ1066" s="1044" t="s">
        <v>2</v>
      </c>
      <c r="AK1066" s="1477">
        <v>20000</v>
      </c>
      <c r="AL1066" s="295"/>
      <c r="AM1066" s="1027"/>
      <c r="AN1066" s="1041"/>
      <c r="AO1066" s="1027"/>
      <c r="AP1066" s="1027"/>
      <c r="AQ1066" s="1053"/>
      <c r="AR1066" s="1056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</row>
    <row r="1067" spans="1:86" s="53" customFormat="1" ht="28.5" customHeight="1" x14ac:dyDescent="0.2">
      <c r="A1067" s="1394"/>
      <c r="B1067" s="1213"/>
      <c r="C1067" s="1273"/>
      <c r="D1067" s="1473"/>
      <c r="E1067" s="1471"/>
      <c r="F1067" s="1473"/>
      <c r="G1067" s="1463"/>
      <c r="H1067" s="85"/>
      <c r="I1067" s="85"/>
      <c r="J1067" s="85"/>
      <c r="K1067" s="85"/>
      <c r="L1067" s="85"/>
      <c r="M1067" s="85"/>
      <c r="N1067" s="1056"/>
      <c r="O1067" s="1056"/>
      <c r="P1067" s="1056"/>
      <c r="Q1067" s="1056"/>
      <c r="R1067" s="1056"/>
      <c r="S1067" s="296"/>
      <c r="T1067" s="294"/>
      <c r="U1067" s="294"/>
      <c r="V1067" s="294"/>
      <c r="W1067" s="84"/>
      <c r="X1067" s="85"/>
      <c r="Y1067" s="295"/>
      <c r="Z1067" s="1056"/>
      <c r="AA1067" s="1056"/>
      <c r="AB1067" s="1056"/>
      <c r="AC1067" s="1056"/>
      <c r="AD1067" s="1056"/>
      <c r="AE1067" s="1056"/>
      <c r="AF1067" s="1478"/>
      <c r="AG1067" s="1478"/>
      <c r="AH1067" s="1479"/>
      <c r="AI1067" s="246">
        <v>7500</v>
      </c>
      <c r="AJ1067" s="1044" t="s">
        <v>4</v>
      </c>
      <c r="AK1067" s="1478"/>
      <c r="AL1067" s="1035"/>
      <c r="AM1067" s="1027"/>
      <c r="AN1067" s="1041"/>
      <c r="AO1067" s="1027"/>
      <c r="AP1067" s="1027"/>
      <c r="AQ1067" s="1053"/>
      <c r="AR1067" s="1056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  <c r="CA1067" s="25"/>
      <c r="CB1067" s="25"/>
      <c r="CC1067" s="25"/>
      <c r="CD1067" s="25"/>
      <c r="CE1067" s="25"/>
      <c r="CF1067" s="25"/>
      <c r="CG1067" s="25"/>
      <c r="CH1067" s="25"/>
    </row>
    <row r="1068" spans="1:86" s="53" customFormat="1" ht="28.5" customHeight="1" x14ac:dyDescent="0.2">
      <c r="A1068" s="1393">
        <v>32</v>
      </c>
      <c r="B1068" s="1285">
        <v>2243886</v>
      </c>
      <c r="C1068" s="1343" t="s">
        <v>987</v>
      </c>
      <c r="D1068" s="1472">
        <v>1.43</v>
      </c>
      <c r="E1068" s="1470">
        <f>D1068*5000</f>
        <v>7150</v>
      </c>
      <c r="F1068" s="1472">
        <v>1.43</v>
      </c>
      <c r="G1068" s="1470">
        <f>F1068*5000</f>
        <v>7150</v>
      </c>
      <c r="H1068" s="85"/>
      <c r="I1068" s="85"/>
      <c r="J1068" s="85"/>
      <c r="K1068" s="85"/>
      <c r="L1068" s="85"/>
      <c r="M1068" s="85"/>
      <c r="N1068" s="1056"/>
      <c r="O1068" s="1056"/>
      <c r="P1068" s="1056"/>
      <c r="Q1068" s="1056"/>
      <c r="R1068" s="1056"/>
      <c r="S1068" s="296"/>
      <c r="T1068" s="294"/>
      <c r="U1068" s="294"/>
      <c r="V1068" s="294"/>
      <c r="W1068" s="84"/>
      <c r="X1068" s="85"/>
      <c r="Y1068" s="295"/>
      <c r="Z1068" s="1056"/>
      <c r="AA1068" s="1056"/>
      <c r="AB1068" s="1056"/>
      <c r="AC1068" s="1056"/>
      <c r="AD1068" s="1056"/>
      <c r="AE1068" s="1056"/>
      <c r="AF1068" s="1477" t="s">
        <v>441</v>
      </c>
      <c r="AG1068" s="1477" t="s">
        <v>597</v>
      </c>
      <c r="AH1068" s="1456" t="s">
        <v>506</v>
      </c>
      <c r="AI1068" s="85">
        <v>1.43</v>
      </c>
      <c r="AJ1068" s="1044" t="s">
        <v>2</v>
      </c>
      <c r="AK1068" s="1477">
        <v>18500</v>
      </c>
      <c r="AL1068" s="295"/>
      <c r="AM1068" s="1027"/>
      <c r="AN1068" s="1041"/>
      <c r="AO1068" s="1027"/>
      <c r="AP1068" s="1027"/>
      <c r="AQ1068" s="1053"/>
      <c r="AR1068" s="1056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  <c r="CA1068" s="25"/>
      <c r="CB1068" s="25"/>
      <c r="CC1068" s="25"/>
      <c r="CD1068" s="25"/>
      <c r="CE1068" s="25"/>
      <c r="CF1068" s="25"/>
      <c r="CG1068" s="25"/>
      <c r="CH1068" s="25"/>
    </row>
    <row r="1069" spans="1:86" s="53" customFormat="1" ht="28.5" customHeight="1" x14ac:dyDescent="0.2">
      <c r="A1069" s="1394"/>
      <c r="B1069" s="1213"/>
      <c r="C1069" s="1273"/>
      <c r="D1069" s="1473"/>
      <c r="E1069" s="1471"/>
      <c r="F1069" s="1473"/>
      <c r="G1069" s="1471"/>
      <c r="H1069" s="85"/>
      <c r="I1069" s="85"/>
      <c r="J1069" s="85"/>
      <c r="K1069" s="85"/>
      <c r="L1069" s="85"/>
      <c r="M1069" s="85"/>
      <c r="N1069" s="1056"/>
      <c r="O1069" s="1056"/>
      <c r="P1069" s="1056"/>
      <c r="Q1069" s="1056"/>
      <c r="R1069" s="1056"/>
      <c r="S1069" s="296"/>
      <c r="T1069" s="294"/>
      <c r="U1069" s="294"/>
      <c r="V1069" s="294"/>
      <c r="W1069" s="84"/>
      <c r="X1069" s="85"/>
      <c r="Y1069" s="295"/>
      <c r="Z1069" s="1056"/>
      <c r="AA1069" s="1056"/>
      <c r="AB1069" s="1056"/>
      <c r="AC1069" s="1056"/>
      <c r="AD1069" s="1056"/>
      <c r="AE1069" s="1056"/>
      <c r="AF1069" s="1478"/>
      <c r="AG1069" s="1478"/>
      <c r="AH1069" s="1479"/>
      <c r="AI1069" s="246">
        <v>7150</v>
      </c>
      <c r="AJ1069" s="1044" t="s">
        <v>4</v>
      </c>
      <c r="AK1069" s="1478"/>
      <c r="AL1069" s="1035"/>
      <c r="AM1069" s="1027"/>
      <c r="AN1069" s="1041"/>
      <c r="AO1069" s="1027"/>
      <c r="AP1069" s="1027"/>
      <c r="AQ1069" s="1053"/>
      <c r="AR1069" s="1056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  <c r="CA1069" s="25"/>
      <c r="CB1069" s="25"/>
      <c r="CC1069" s="25"/>
      <c r="CD1069" s="25"/>
      <c r="CE1069" s="25"/>
      <c r="CF1069" s="25"/>
      <c r="CG1069" s="25"/>
      <c r="CH1069" s="25"/>
    </row>
    <row r="1070" spans="1:86" s="53" customFormat="1" ht="28.5" customHeight="1" x14ac:dyDescent="0.2">
      <c r="A1070" s="1393">
        <v>33</v>
      </c>
      <c r="B1070" s="1285">
        <v>2241808</v>
      </c>
      <c r="C1070" s="1343" t="s">
        <v>969</v>
      </c>
      <c r="D1070" s="1472">
        <v>1.8</v>
      </c>
      <c r="E1070" s="1470">
        <f>D1070*5000</f>
        <v>9000</v>
      </c>
      <c r="F1070" s="1472">
        <v>1.8</v>
      </c>
      <c r="G1070" s="1470">
        <f>F1070*5000</f>
        <v>9000</v>
      </c>
      <c r="H1070" s="85"/>
      <c r="I1070" s="85"/>
      <c r="J1070" s="85"/>
      <c r="K1070" s="85"/>
      <c r="L1070" s="85"/>
      <c r="M1070" s="85"/>
      <c r="N1070" s="1056"/>
      <c r="O1070" s="1056"/>
      <c r="P1070" s="1056"/>
      <c r="Q1070" s="1056"/>
      <c r="R1070" s="1056"/>
      <c r="S1070" s="296"/>
      <c r="T1070" s="294"/>
      <c r="U1070" s="294"/>
      <c r="V1070" s="294"/>
      <c r="W1070" s="84"/>
      <c r="X1070" s="85"/>
      <c r="Y1070" s="295"/>
      <c r="Z1070" s="1056"/>
      <c r="AA1070" s="1056"/>
      <c r="AB1070" s="1056"/>
      <c r="AC1070" s="1056"/>
      <c r="AD1070" s="1056"/>
      <c r="AE1070" s="1056"/>
      <c r="AF1070" s="1477" t="s">
        <v>441</v>
      </c>
      <c r="AG1070" s="1477" t="s">
        <v>1514</v>
      </c>
      <c r="AH1070" s="1456" t="s">
        <v>506</v>
      </c>
      <c r="AI1070" s="85">
        <v>1.8</v>
      </c>
      <c r="AJ1070" s="1044" t="s">
        <v>2</v>
      </c>
      <c r="AK1070" s="1477">
        <v>23000</v>
      </c>
      <c r="AL1070" s="295"/>
      <c r="AM1070" s="1027"/>
      <c r="AN1070" s="1041"/>
      <c r="AO1070" s="1027"/>
      <c r="AP1070" s="1027"/>
      <c r="AQ1070" s="1053"/>
      <c r="AR1070" s="1056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  <c r="CA1070" s="25"/>
      <c r="CB1070" s="25"/>
      <c r="CC1070" s="25"/>
      <c r="CD1070" s="25"/>
      <c r="CE1070" s="25"/>
      <c r="CF1070" s="25"/>
      <c r="CG1070" s="25"/>
      <c r="CH1070" s="25"/>
    </row>
    <row r="1071" spans="1:86" s="53" customFormat="1" ht="28.5" customHeight="1" x14ac:dyDescent="0.2">
      <c r="A1071" s="1394"/>
      <c r="B1071" s="1213"/>
      <c r="C1071" s="1273"/>
      <c r="D1071" s="1473"/>
      <c r="E1071" s="1471"/>
      <c r="F1071" s="1473"/>
      <c r="G1071" s="1471"/>
      <c r="H1071" s="85"/>
      <c r="I1071" s="85"/>
      <c r="J1071" s="85"/>
      <c r="K1071" s="85"/>
      <c r="L1071" s="85"/>
      <c r="M1071" s="85"/>
      <c r="N1071" s="1056"/>
      <c r="O1071" s="1056"/>
      <c r="P1071" s="1056"/>
      <c r="Q1071" s="1056"/>
      <c r="R1071" s="1056"/>
      <c r="S1071" s="296"/>
      <c r="T1071" s="294"/>
      <c r="U1071" s="294"/>
      <c r="V1071" s="294"/>
      <c r="W1071" s="84"/>
      <c r="X1071" s="85"/>
      <c r="Y1071" s="295"/>
      <c r="Z1071" s="1056"/>
      <c r="AA1071" s="1056"/>
      <c r="AB1071" s="1056"/>
      <c r="AC1071" s="1056"/>
      <c r="AD1071" s="1056"/>
      <c r="AE1071" s="1056"/>
      <c r="AF1071" s="1478"/>
      <c r="AG1071" s="1478"/>
      <c r="AH1071" s="1479"/>
      <c r="AI1071" s="246">
        <v>9000</v>
      </c>
      <c r="AJ1071" s="1044" t="s">
        <v>4</v>
      </c>
      <c r="AK1071" s="1478"/>
      <c r="AL1071" s="1035"/>
      <c r="AM1071" s="1027"/>
      <c r="AN1071" s="1041"/>
      <c r="AO1071" s="1027"/>
      <c r="AP1071" s="1027"/>
      <c r="AQ1071" s="1053"/>
      <c r="AR1071" s="1056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  <c r="CA1071" s="25"/>
      <c r="CB1071" s="25"/>
      <c r="CC1071" s="25"/>
      <c r="CD1071" s="25"/>
      <c r="CE1071" s="25"/>
      <c r="CF1071" s="25"/>
      <c r="CG1071" s="25"/>
      <c r="CH1071" s="25"/>
    </row>
    <row r="1072" spans="1:86" s="53" customFormat="1" ht="28.5" customHeight="1" x14ac:dyDescent="0.2">
      <c r="A1072" s="2413">
        <v>34</v>
      </c>
      <c r="B1072" s="1300"/>
      <c r="C1072" s="1343" t="s">
        <v>1590</v>
      </c>
      <c r="D1072" s="1472">
        <v>0.40500000000000003</v>
      </c>
      <c r="E1072" s="1470">
        <f>G1072</f>
        <v>0</v>
      </c>
      <c r="F1072" s="1472">
        <v>0.40500000000000003</v>
      </c>
      <c r="G1072" s="1470">
        <f>AC1073</f>
        <v>0</v>
      </c>
      <c r="H1072" s="865"/>
      <c r="I1072" s="865"/>
      <c r="J1072" s="865"/>
      <c r="K1072" s="865"/>
      <c r="L1072" s="865"/>
      <c r="M1072" s="865"/>
      <c r="N1072" s="865"/>
      <c r="O1072" s="865"/>
      <c r="P1072" s="865"/>
      <c r="Q1072" s="865"/>
      <c r="R1072" s="865"/>
      <c r="S1072" s="867"/>
      <c r="T1072" s="868"/>
      <c r="U1072" s="868"/>
      <c r="V1072" s="868"/>
      <c r="W1072" s="864"/>
      <c r="X1072" s="865"/>
      <c r="Y1072" s="869"/>
      <c r="Z1072" s="1300" t="s">
        <v>441</v>
      </c>
      <c r="AA1072" s="1300" t="s">
        <v>1589</v>
      </c>
      <c r="AB1072" s="1500" t="s">
        <v>495</v>
      </c>
      <c r="AC1072" s="1044">
        <v>0.40500000000000003</v>
      </c>
      <c r="AD1072" s="1044" t="s">
        <v>2</v>
      </c>
      <c r="AE1072" s="2471">
        <v>3406.0988600000001</v>
      </c>
      <c r="AF1072" s="865"/>
      <c r="AG1072" s="865"/>
      <c r="AH1072" s="870"/>
      <c r="AI1072" s="869"/>
      <c r="AJ1072" s="871"/>
      <c r="AK1072" s="1056"/>
      <c r="AL1072" s="1035"/>
      <c r="AM1072" s="1027"/>
      <c r="AN1072" s="1041"/>
      <c r="AO1072" s="1027"/>
      <c r="AP1072" s="1027"/>
      <c r="AQ1072" s="1053"/>
      <c r="AR1072" s="1056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  <c r="CA1072" s="25"/>
      <c r="CB1072" s="25"/>
      <c r="CC1072" s="25"/>
      <c r="CD1072" s="25"/>
      <c r="CE1072" s="25"/>
      <c r="CF1072" s="25"/>
      <c r="CG1072" s="25"/>
      <c r="CH1072" s="25"/>
    </row>
    <row r="1073" spans="1:86" s="53" customFormat="1" ht="28.5" customHeight="1" x14ac:dyDescent="0.2">
      <c r="A1073" s="1394"/>
      <c r="B1073" s="1213"/>
      <c r="C1073" s="1273"/>
      <c r="D1073" s="1473"/>
      <c r="E1073" s="1471"/>
      <c r="F1073" s="1473"/>
      <c r="G1073" s="1471"/>
      <c r="H1073" s="865"/>
      <c r="I1073" s="865"/>
      <c r="J1073" s="865"/>
      <c r="K1073" s="865"/>
      <c r="L1073" s="865"/>
      <c r="M1073" s="865"/>
      <c r="N1073" s="865"/>
      <c r="O1073" s="865"/>
      <c r="P1073" s="865"/>
      <c r="Q1073" s="865"/>
      <c r="R1073" s="865"/>
      <c r="S1073" s="867"/>
      <c r="T1073" s="868"/>
      <c r="U1073" s="868"/>
      <c r="V1073" s="868"/>
      <c r="W1073" s="864"/>
      <c r="X1073" s="865"/>
      <c r="Y1073" s="869"/>
      <c r="Z1073" s="1213"/>
      <c r="AA1073" s="1213"/>
      <c r="AB1073" s="1457"/>
      <c r="AC1073" s="1044"/>
      <c r="AD1073" s="1044" t="s">
        <v>4</v>
      </c>
      <c r="AE1073" s="2471"/>
      <c r="AF1073" s="865"/>
      <c r="AG1073" s="865"/>
      <c r="AH1073" s="870"/>
      <c r="AI1073" s="869"/>
      <c r="AJ1073" s="871"/>
      <c r="AK1073" s="865"/>
      <c r="AL1073" s="1035"/>
      <c r="AM1073" s="1027"/>
      <c r="AN1073" s="1041"/>
      <c r="AO1073" s="1027"/>
      <c r="AP1073" s="1027"/>
      <c r="AQ1073" s="1053"/>
      <c r="AR1073" s="1056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  <c r="CA1073" s="25"/>
      <c r="CB1073" s="25"/>
      <c r="CC1073" s="25"/>
      <c r="CD1073" s="25"/>
      <c r="CE1073" s="25"/>
      <c r="CF1073" s="25"/>
      <c r="CG1073" s="25"/>
      <c r="CH1073" s="25"/>
    </row>
    <row r="1074" spans="1:86" s="59" customFormat="1" ht="27.75" customHeight="1" thickBot="1" x14ac:dyDescent="0.25">
      <c r="A1074" s="355"/>
      <c r="B1074" s="860"/>
      <c r="C1074" s="861" t="s">
        <v>1058</v>
      </c>
      <c r="D1074" s="862"/>
      <c r="E1074" s="862"/>
      <c r="F1074" s="862"/>
      <c r="G1074" s="862"/>
      <c r="H1074" s="860"/>
      <c r="I1074" s="860"/>
      <c r="J1074" s="860"/>
      <c r="K1074" s="860">
        <f>K1075+K1081+K1087</f>
        <v>4.9459999999999997</v>
      </c>
      <c r="L1074" s="860"/>
      <c r="M1074" s="863">
        <f>M1075+M1081+M1087</f>
        <v>58744.741800000003</v>
      </c>
      <c r="N1074" s="89"/>
      <c r="O1074" s="89"/>
      <c r="P1074" s="89"/>
      <c r="Q1074" s="866">
        <f>Q1093+Q1096+Q1099+Q1102+Q1104+Q1107+Q1110+Q1113</f>
        <v>5.1905000000000001</v>
      </c>
      <c r="R1074" s="89"/>
      <c r="S1074" s="640">
        <f>S1093+S1095+S1096+S1098+S1099+S1101+S1102+S1104+S1106+S1107+S1109+S1110+S1112+S1113</f>
        <v>52709.184399999998</v>
      </c>
      <c r="T1074" s="89"/>
      <c r="U1074" s="89"/>
      <c r="V1074" s="89"/>
      <c r="W1074" s="89">
        <f>W1115+W1117+W1119+W1121</f>
        <v>12.555</v>
      </c>
      <c r="X1074" s="89"/>
      <c r="Y1074" s="209">
        <f>Y1115+Y1117+Y1119+Y1121</f>
        <v>125979.57031</v>
      </c>
      <c r="Z1074" s="89"/>
      <c r="AA1074" s="89"/>
      <c r="AB1074" s="89"/>
      <c r="AC1074" s="89">
        <f>AC1121+AC1134+AC1197+AC1123</f>
        <v>7.7319999999999993</v>
      </c>
      <c r="AD1074" s="89"/>
      <c r="AE1074" s="640">
        <f>AE1121+AE1123+AE1134+AE1197+31674.90632</f>
        <v>116505.26299999999</v>
      </c>
      <c r="AF1074" s="89"/>
      <c r="AG1074" s="89"/>
      <c r="AH1074" s="89"/>
      <c r="AI1074" s="89">
        <f>AI1156+AI1165+AI1205+AI1210</f>
        <v>5.0540000000000003</v>
      </c>
      <c r="AJ1074" s="89"/>
      <c r="AK1074" s="209">
        <f>AK1156+AK1165+AK1205+AK1210+56284.753</f>
        <v>148325.05300000001</v>
      </c>
      <c r="AL1074" s="1068"/>
      <c r="AM1074" s="88"/>
      <c r="AN1074" s="89"/>
      <c r="AO1074" s="89">
        <f>AO1179+AO1181+AO1183+AO1185+AO1188+AO1191+AO1194+AO1197+AO1200+AO1202+AO1205+AO1207+AO1210+AO1212+AO1214+AO1216+AO1218+AO1220+AO1128+AO1153+AO1176</f>
        <v>4.5019999999999998</v>
      </c>
      <c r="AP1074" s="89"/>
      <c r="AQ1074" s="403">
        <f>AQ1179+AQ1181+AQ1183+AQ1185+AQ1188+AQ1191+AQ1194+AQ1197+AQ1200+AQ1202+AQ1205+AQ1207+AQ1210+AQ1212+AQ1214+AQ1216+AQ1218++AQ1220+AQ1128+AQ1153+AQ1176+78026.3</f>
        <v>148325.05300000001</v>
      </c>
      <c r="AR1074" s="89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  <c r="BM1074" s="58"/>
      <c r="BN1074" s="58"/>
      <c r="BO1074" s="58"/>
      <c r="BP1074" s="58"/>
      <c r="BQ1074" s="58"/>
      <c r="BR1074" s="58"/>
      <c r="BS1074" s="58"/>
      <c r="BT1074" s="58"/>
      <c r="BU1074" s="58"/>
      <c r="BV1074" s="58"/>
      <c r="BW1074" s="58"/>
      <c r="BX1074" s="58"/>
      <c r="BY1074" s="58"/>
      <c r="BZ1074" s="58"/>
      <c r="CA1074" s="58"/>
      <c r="CB1074" s="58"/>
      <c r="CC1074" s="58"/>
      <c r="CD1074" s="58"/>
      <c r="CE1074" s="58"/>
      <c r="CF1074" s="58"/>
      <c r="CG1074" s="58"/>
      <c r="CH1074" s="58"/>
    </row>
    <row r="1075" spans="1:86" s="59" customFormat="1" ht="21.75" customHeight="1" x14ac:dyDescent="0.2">
      <c r="A1075" s="1787">
        <v>1</v>
      </c>
      <c r="B1075" s="2233">
        <v>2246818</v>
      </c>
      <c r="C1075" s="1808" t="s">
        <v>94</v>
      </c>
      <c r="D1075" s="2028">
        <f>0.79-0.023</f>
        <v>0.76700000000000002</v>
      </c>
      <c r="E1075" s="1789">
        <v>8475</v>
      </c>
      <c r="F1075" s="2028">
        <f>0.79-0.023</f>
        <v>0.76700000000000002</v>
      </c>
      <c r="G1075" s="1789">
        <v>8475</v>
      </c>
      <c r="H1075" s="2233" t="s">
        <v>441</v>
      </c>
      <c r="I1075" s="2233" t="s">
        <v>1079</v>
      </c>
      <c r="J1075" s="1931" t="s">
        <v>5</v>
      </c>
      <c r="K1075" s="431">
        <v>0.76700000000000002</v>
      </c>
      <c r="L1075" s="440" t="s">
        <v>2</v>
      </c>
      <c r="M1075" s="2025">
        <v>14330.47874</v>
      </c>
      <c r="N1075" s="552"/>
      <c r="O1075" s="89"/>
      <c r="P1075" s="89"/>
      <c r="Q1075" s="89"/>
      <c r="R1075" s="89"/>
      <c r="S1075" s="209"/>
      <c r="T1075" s="89"/>
      <c r="U1075" s="89"/>
      <c r="V1075" s="89"/>
      <c r="W1075" s="87"/>
      <c r="X1075" s="88"/>
      <c r="Y1075" s="240"/>
      <c r="Z1075" s="89"/>
      <c r="AA1075" s="89"/>
      <c r="AB1075" s="89"/>
      <c r="AC1075" s="89"/>
      <c r="AD1075" s="89"/>
      <c r="AE1075" s="640"/>
      <c r="AF1075" s="214"/>
      <c r="AG1075" s="214"/>
      <c r="AH1075" s="428"/>
      <c r="AI1075" s="975"/>
      <c r="AJ1075" s="1162"/>
      <c r="AK1075" s="260"/>
      <c r="AL1075" s="246"/>
      <c r="AM1075" s="89"/>
      <c r="AN1075" s="89"/>
      <c r="AO1075" s="89"/>
      <c r="AP1075" s="89"/>
      <c r="AQ1075" s="640"/>
      <c r="AR1075" s="89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  <c r="BM1075" s="58"/>
      <c r="BN1075" s="58"/>
      <c r="BO1075" s="58"/>
      <c r="BP1075" s="58"/>
      <c r="BQ1075" s="58"/>
      <c r="BR1075" s="58"/>
      <c r="BS1075" s="58"/>
      <c r="BT1075" s="58"/>
      <c r="BU1075" s="58"/>
      <c r="BV1075" s="58"/>
      <c r="BW1075" s="58"/>
      <c r="BX1075" s="58"/>
      <c r="BY1075" s="58"/>
      <c r="BZ1075" s="58"/>
      <c r="CA1075" s="58"/>
      <c r="CB1075" s="58"/>
      <c r="CC1075" s="58"/>
      <c r="CD1075" s="58"/>
      <c r="CE1075" s="58"/>
      <c r="CF1075" s="58"/>
      <c r="CG1075" s="58"/>
      <c r="CH1075" s="58"/>
    </row>
    <row r="1076" spans="1:86" s="59" customFormat="1" ht="28.9" customHeight="1" thickBot="1" x14ac:dyDescent="0.25">
      <c r="A1076" s="1788"/>
      <c r="B1076" s="1792"/>
      <c r="C1076" s="1699"/>
      <c r="D1076" s="1421"/>
      <c r="E1076" s="1422"/>
      <c r="F1076" s="1421"/>
      <c r="G1076" s="1422"/>
      <c r="H1076" s="1792"/>
      <c r="I1076" s="1792"/>
      <c r="J1076" s="2234"/>
      <c r="K1076" s="425">
        <v>8475</v>
      </c>
      <c r="L1076" s="1162" t="s">
        <v>519</v>
      </c>
      <c r="M1076" s="2026"/>
      <c r="N1076" s="374"/>
      <c r="O1076" s="89"/>
      <c r="P1076" s="89"/>
      <c r="Q1076" s="89"/>
      <c r="R1076" s="89"/>
      <c r="S1076" s="209"/>
      <c r="T1076" s="89"/>
      <c r="U1076" s="89"/>
      <c r="V1076" s="89"/>
      <c r="W1076" s="87"/>
      <c r="X1076" s="88"/>
      <c r="Y1076" s="240"/>
      <c r="Z1076" s="89"/>
      <c r="AA1076" s="89"/>
      <c r="AB1076" s="89"/>
      <c r="AC1076" s="89"/>
      <c r="AD1076" s="89"/>
      <c r="AE1076" s="89"/>
      <c r="AF1076" s="214"/>
      <c r="AG1076" s="214"/>
      <c r="AH1076" s="428"/>
      <c r="AI1076" s="1162"/>
      <c r="AJ1076" s="1162"/>
      <c r="AK1076" s="260"/>
      <c r="AL1076" s="88"/>
      <c r="AM1076" s="89"/>
      <c r="AN1076" s="89"/>
      <c r="AO1076" s="89"/>
      <c r="AP1076" s="89"/>
      <c r="AQ1076" s="89"/>
      <c r="AR1076" s="89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  <c r="BM1076" s="58"/>
      <c r="BN1076" s="58"/>
      <c r="BO1076" s="58"/>
      <c r="BP1076" s="58"/>
      <c r="BQ1076" s="58"/>
      <c r="BR1076" s="58"/>
      <c r="BS1076" s="58"/>
      <c r="BT1076" s="58"/>
      <c r="BU1076" s="58"/>
      <c r="BV1076" s="58"/>
      <c r="BW1076" s="58"/>
      <c r="BX1076" s="58"/>
      <c r="BY1076" s="58"/>
      <c r="BZ1076" s="58"/>
      <c r="CA1076" s="58"/>
      <c r="CB1076" s="58"/>
      <c r="CC1076" s="58"/>
      <c r="CD1076" s="58"/>
      <c r="CE1076" s="58"/>
      <c r="CF1076" s="58"/>
      <c r="CG1076" s="58"/>
      <c r="CH1076" s="58"/>
    </row>
    <row r="1077" spans="1:86" s="59" customFormat="1" ht="28.35" hidden="1" customHeight="1" x14ac:dyDescent="0.2">
      <c r="A1077" s="433"/>
      <c r="B1077" s="1792"/>
      <c r="C1077" s="1699"/>
      <c r="D1077" s="1421"/>
      <c r="E1077" s="1422"/>
      <c r="F1077" s="1421"/>
      <c r="G1077" s="1422"/>
      <c r="H1077" s="1792"/>
      <c r="I1077" s="1792"/>
      <c r="J1077" s="432" t="s">
        <v>35</v>
      </c>
      <c r="K1077" s="2540">
        <v>4</v>
      </c>
      <c r="L1077" s="1104" t="s">
        <v>8</v>
      </c>
      <c r="M1077" s="2026"/>
      <c r="N1077" s="374"/>
      <c r="O1077" s="89"/>
      <c r="P1077" s="89"/>
      <c r="Q1077" s="89"/>
      <c r="R1077" s="89"/>
      <c r="S1077" s="209"/>
      <c r="T1077" s="89"/>
      <c r="U1077" s="89"/>
      <c r="V1077" s="89"/>
      <c r="W1077" s="87"/>
      <c r="X1077" s="88"/>
      <c r="Y1077" s="240"/>
      <c r="Z1077" s="89"/>
      <c r="AA1077" s="89"/>
      <c r="AB1077" s="89"/>
      <c r="AC1077" s="89"/>
      <c r="AD1077" s="89"/>
      <c r="AE1077" s="89"/>
      <c r="AF1077" s="214"/>
      <c r="AG1077" s="214"/>
      <c r="AH1077" s="258"/>
      <c r="AI1077" s="1162"/>
      <c r="AJ1077" s="1162"/>
      <c r="AK1077" s="260"/>
      <c r="AL1077" s="88"/>
      <c r="AM1077" s="89"/>
      <c r="AN1077" s="89"/>
      <c r="AO1077" s="89"/>
      <c r="AP1077" s="89"/>
      <c r="AQ1077" s="89"/>
      <c r="AR1077" s="89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  <c r="BM1077" s="58"/>
      <c r="BN1077" s="58"/>
      <c r="BO1077" s="58"/>
      <c r="BP1077" s="58"/>
      <c r="BQ1077" s="58"/>
      <c r="BR1077" s="58"/>
      <c r="BS1077" s="58"/>
      <c r="BT1077" s="58"/>
      <c r="BU1077" s="58"/>
      <c r="BV1077" s="58"/>
      <c r="BW1077" s="58"/>
      <c r="BX1077" s="58"/>
      <c r="BY1077" s="58"/>
      <c r="BZ1077" s="58"/>
      <c r="CA1077" s="58"/>
      <c r="CB1077" s="58"/>
      <c r="CC1077" s="58"/>
      <c r="CD1077" s="58"/>
      <c r="CE1077" s="58"/>
      <c r="CF1077" s="58"/>
      <c r="CG1077" s="58"/>
      <c r="CH1077" s="58"/>
    </row>
    <row r="1078" spans="1:86" s="59" customFormat="1" ht="20.65" hidden="1" customHeight="1" x14ac:dyDescent="0.2">
      <c r="A1078" s="1180"/>
      <c r="B1078" s="434"/>
      <c r="C1078" s="977" t="s">
        <v>1075</v>
      </c>
      <c r="D1078" s="164"/>
      <c r="E1078" s="435"/>
      <c r="F1078" s="164"/>
      <c r="G1078" s="435"/>
      <c r="H1078" s="434"/>
      <c r="I1078" s="434"/>
      <c r="J1078" s="436"/>
      <c r="K1078" s="425"/>
      <c r="L1078" s="1162"/>
      <c r="M1078" s="437"/>
      <c r="N1078" s="374"/>
      <c r="O1078" s="89"/>
      <c r="P1078" s="89"/>
      <c r="Q1078" s="89"/>
      <c r="R1078" s="89"/>
      <c r="S1078" s="209"/>
      <c r="T1078" s="89"/>
      <c r="U1078" s="89"/>
      <c r="V1078" s="89"/>
      <c r="W1078" s="87"/>
      <c r="X1078" s="88"/>
      <c r="Y1078" s="240"/>
      <c r="Z1078" s="89"/>
      <c r="AA1078" s="89"/>
      <c r="AB1078" s="89"/>
      <c r="AC1078" s="89"/>
      <c r="AD1078" s="89"/>
      <c r="AE1078" s="89"/>
      <c r="AF1078" s="214"/>
      <c r="AG1078" s="214"/>
      <c r="AH1078" s="258"/>
      <c r="AI1078" s="1162"/>
      <c r="AJ1078" s="1162"/>
      <c r="AK1078" s="260"/>
      <c r="AL1078" s="88"/>
      <c r="AM1078" s="89"/>
      <c r="AN1078" s="89"/>
      <c r="AO1078" s="89"/>
      <c r="AP1078" s="89"/>
      <c r="AQ1078" s="89"/>
      <c r="AR1078" s="89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  <c r="BM1078" s="58"/>
      <c r="BN1078" s="58"/>
      <c r="BO1078" s="58"/>
      <c r="BP1078" s="58"/>
      <c r="BQ1078" s="58"/>
      <c r="BR1078" s="58"/>
      <c r="BS1078" s="58"/>
      <c r="BT1078" s="58"/>
      <c r="BU1078" s="58"/>
      <c r="BV1078" s="58"/>
      <c r="BW1078" s="58"/>
      <c r="BX1078" s="58"/>
      <c r="BY1078" s="58"/>
      <c r="BZ1078" s="58"/>
      <c r="CA1078" s="58"/>
      <c r="CB1078" s="58"/>
      <c r="CC1078" s="58"/>
      <c r="CD1078" s="58"/>
      <c r="CE1078" s="58"/>
      <c r="CF1078" s="58"/>
      <c r="CG1078" s="58"/>
      <c r="CH1078" s="58"/>
    </row>
    <row r="1079" spans="1:86" s="59" customFormat="1" ht="36" hidden="1" customHeight="1" x14ac:dyDescent="0.2">
      <c r="A1079" s="1180"/>
      <c r="B1079" s="434"/>
      <c r="C1079" s="919" t="s">
        <v>1077</v>
      </c>
      <c r="D1079" s="975"/>
      <c r="E1079" s="1178"/>
      <c r="F1079" s="975"/>
      <c r="G1079" s="1113"/>
      <c r="H1079" s="878"/>
      <c r="I1079" s="878"/>
      <c r="J1079" s="878"/>
      <c r="K1079" s="897"/>
      <c r="L1079" s="878"/>
      <c r="M1079" s="1088">
        <v>0</v>
      </c>
      <c r="N1079" s="374"/>
      <c r="O1079" s="89"/>
      <c r="P1079" s="89"/>
      <c r="Q1079" s="89"/>
      <c r="R1079" s="89"/>
      <c r="S1079" s="209"/>
      <c r="T1079" s="89"/>
      <c r="U1079" s="89"/>
      <c r="V1079" s="89"/>
      <c r="W1079" s="87"/>
      <c r="X1079" s="88"/>
      <c r="Y1079" s="240"/>
      <c r="Z1079" s="89"/>
      <c r="AA1079" s="89"/>
      <c r="AB1079" s="89"/>
      <c r="AC1079" s="89"/>
      <c r="AD1079" s="89"/>
      <c r="AE1079" s="89"/>
      <c r="AF1079" s="214"/>
      <c r="AG1079" s="214"/>
      <c r="AH1079" s="258"/>
      <c r="AI1079" s="1162"/>
      <c r="AJ1079" s="1162"/>
      <c r="AK1079" s="260"/>
      <c r="AL1079" s="88"/>
      <c r="AM1079" s="89"/>
      <c r="AN1079" s="89"/>
      <c r="AO1079" s="89"/>
      <c r="AP1079" s="89"/>
      <c r="AQ1079" s="89"/>
      <c r="AR1079" s="89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  <c r="BM1079" s="58"/>
      <c r="BN1079" s="58"/>
      <c r="BO1079" s="58"/>
      <c r="BP1079" s="58"/>
      <c r="BQ1079" s="58"/>
      <c r="BR1079" s="58"/>
      <c r="BS1079" s="58"/>
      <c r="BT1079" s="58"/>
      <c r="BU1079" s="58"/>
      <c r="BV1079" s="58"/>
      <c r="BW1079" s="58"/>
      <c r="BX1079" s="58"/>
      <c r="BY1079" s="58"/>
      <c r="BZ1079" s="58"/>
      <c r="CA1079" s="58"/>
      <c r="CB1079" s="58"/>
      <c r="CC1079" s="58"/>
      <c r="CD1079" s="58"/>
      <c r="CE1079" s="58"/>
      <c r="CF1079" s="58"/>
      <c r="CG1079" s="58"/>
      <c r="CH1079" s="58"/>
    </row>
    <row r="1080" spans="1:86" s="59" customFormat="1" ht="28.35" hidden="1" customHeight="1" thickBot="1" x14ac:dyDescent="0.25">
      <c r="A1080" s="1179"/>
      <c r="B1080" s="438"/>
      <c r="C1080" s="949" t="s">
        <v>1076</v>
      </c>
      <c r="D1080" s="1128"/>
      <c r="E1080" s="540"/>
      <c r="F1080" s="1128"/>
      <c r="G1080" s="788"/>
      <c r="H1080" s="885"/>
      <c r="I1080" s="885"/>
      <c r="J1080" s="885"/>
      <c r="K1080" s="910"/>
      <c r="L1080" s="885"/>
      <c r="M1080" s="454">
        <f>M1075</f>
        <v>14330.47874</v>
      </c>
      <c r="N1080" s="374"/>
      <c r="O1080" s="89"/>
      <c r="P1080" s="89"/>
      <c r="Q1080" s="89"/>
      <c r="R1080" s="89"/>
      <c r="S1080" s="209"/>
      <c r="T1080" s="89"/>
      <c r="U1080" s="89"/>
      <c r="V1080" s="89"/>
      <c r="W1080" s="87"/>
      <c r="X1080" s="88"/>
      <c r="Y1080" s="240"/>
      <c r="Z1080" s="89"/>
      <c r="AA1080" s="89"/>
      <c r="AB1080" s="89"/>
      <c r="AC1080" s="89"/>
      <c r="AD1080" s="89"/>
      <c r="AE1080" s="89"/>
      <c r="AF1080" s="214"/>
      <c r="AG1080" s="214"/>
      <c r="AH1080" s="258"/>
      <c r="AI1080" s="1162"/>
      <c r="AJ1080" s="1162"/>
      <c r="AK1080" s="260"/>
      <c r="AL1080" s="88"/>
      <c r="AM1080" s="89"/>
      <c r="AN1080" s="89"/>
      <c r="AO1080" s="89"/>
      <c r="AP1080" s="89"/>
      <c r="AQ1080" s="89"/>
      <c r="AR1080" s="89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  <c r="BM1080" s="58"/>
      <c r="BN1080" s="58"/>
      <c r="BO1080" s="58"/>
      <c r="BP1080" s="58"/>
      <c r="BQ1080" s="58"/>
      <c r="BR1080" s="58"/>
      <c r="BS1080" s="58"/>
      <c r="BT1080" s="58"/>
      <c r="BU1080" s="58"/>
      <c r="BV1080" s="58"/>
      <c r="BW1080" s="58"/>
      <c r="BX1080" s="58"/>
      <c r="BY1080" s="58"/>
      <c r="BZ1080" s="58"/>
      <c r="CA1080" s="58"/>
      <c r="CB1080" s="58"/>
      <c r="CC1080" s="58"/>
      <c r="CD1080" s="58"/>
      <c r="CE1080" s="58"/>
      <c r="CF1080" s="58"/>
      <c r="CG1080" s="58"/>
      <c r="CH1080" s="58"/>
    </row>
    <row r="1081" spans="1:86" s="59" customFormat="1" ht="21.75" customHeight="1" x14ac:dyDescent="0.2">
      <c r="A1081" s="1787">
        <v>2</v>
      </c>
      <c r="B1081" s="2233">
        <v>2240797</v>
      </c>
      <c r="C1081" s="1808" t="s">
        <v>589</v>
      </c>
      <c r="D1081" s="2028">
        <f>2.48+0.036</f>
        <v>2.516</v>
      </c>
      <c r="E1081" s="1789">
        <v>16014.5</v>
      </c>
      <c r="F1081" s="2028">
        <f>2.48+0.036</f>
        <v>2.516</v>
      </c>
      <c r="G1081" s="1789">
        <v>16014.5</v>
      </c>
      <c r="H1081" s="1282" t="s">
        <v>441</v>
      </c>
      <c r="I1081" s="1282" t="s">
        <v>1382</v>
      </c>
      <c r="J1081" s="1246" t="s">
        <v>5</v>
      </c>
      <c r="K1081" s="431">
        <f>2.48+0.036</f>
        <v>2.516</v>
      </c>
      <c r="L1081" s="877" t="s">
        <v>2</v>
      </c>
      <c r="M1081" s="2025">
        <v>22821.13811</v>
      </c>
      <c r="N1081" s="552"/>
      <c r="O1081" s="89"/>
      <c r="P1081" s="89"/>
      <c r="Q1081" s="89"/>
      <c r="R1081" s="89"/>
      <c r="S1081" s="209"/>
      <c r="T1081" s="89"/>
      <c r="U1081" s="89"/>
      <c r="V1081" s="89"/>
      <c r="W1081" s="87"/>
      <c r="X1081" s="88"/>
      <c r="Y1081" s="240"/>
      <c r="Z1081" s="89"/>
      <c r="AA1081" s="89"/>
      <c r="AB1081" s="89"/>
      <c r="AC1081" s="89"/>
      <c r="AD1081" s="89"/>
      <c r="AE1081" s="89"/>
      <c r="AF1081" s="174"/>
      <c r="AG1081" s="174"/>
      <c r="AH1081" s="174"/>
      <c r="AI1081" s="883"/>
      <c r="AJ1081" s="883"/>
      <c r="AK1081" s="260"/>
      <c r="AL1081" s="246"/>
      <c r="AM1081" s="89"/>
      <c r="AN1081" s="89"/>
      <c r="AO1081" s="89"/>
      <c r="AP1081" s="89"/>
      <c r="AQ1081" s="89"/>
      <c r="AR1081" s="89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  <c r="BM1081" s="58"/>
      <c r="BN1081" s="58"/>
      <c r="BO1081" s="58"/>
      <c r="BP1081" s="58"/>
      <c r="BQ1081" s="58"/>
      <c r="BR1081" s="58"/>
      <c r="BS1081" s="58"/>
      <c r="BT1081" s="58"/>
      <c r="BU1081" s="58"/>
      <c r="BV1081" s="58"/>
      <c r="BW1081" s="58"/>
      <c r="BX1081" s="58"/>
      <c r="BY1081" s="58"/>
      <c r="BZ1081" s="58"/>
      <c r="CA1081" s="58"/>
      <c r="CB1081" s="58"/>
      <c r="CC1081" s="58"/>
      <c r="CD1081" s="58"/>
      <c r="CE1081" s="58"/>
      <c r="CF1081" s="58"/>
      <c r="CG1081" s="58"/>
      <c r="CH1081" s="58"/>
    </row>
    <row r="1082" spans="1:86" s="59" customFormat="1" ht="21.75" customHeight="1" thickBot="1" x14ac:dyDescent="0.25">
      <c r="A1082" s="1788"/>
      <c r="B1082" s="1792"/>
      <c r="C1082" s="1699"/>
      <c r="D1082" s="1421"/>
      <c r="E1082" s="1422"/>
      <c r="F1082" s="1421"/>
      <c r="G1082" s="1422"/>
      <c r="H1082" s="1316"/>
      <c r="I1082" s="1316"/>
      <c r="J1082" s="1213"/>
      <c r="K1082" s="873">
        <v>16014.5</v>
      </c>
      <c r="L1082" s="878" t="s">
        <v>524</v>
      </c>
      <c r="M1082" s="2026"/>
      <c r="N1082" s="374"/>
      <c r="O1082" s="89"/>
      <c r="P1082" s="89"/>
      <c r="Q1082" s="89"/>
      <c r="R1082" s="89"/>
      <c r="S1082" s="209"/>
      <c r="T1082" s="89"/>
      <c r="U1082" s="89"/>
      <c r="V1082" s="89"/>
      <c r="W1082" s="87"/>
      <c r="X1082" s="88"/>
      <c r="Y1082" s="240"/>
      <c r="Z1082" s="89"/>
      <c r="AA1082" s="89"/>
      <c r="AB1082" s="89"/>
      <c r="AC1082" s="89"/>
      <c r="AD1082" s="89"/>
      <c r="AE1082" s="89"/>
      <c r="AF1082" s="174"/>
      <c r="AG1082" s="174"/>
      <c r="AH1082" s="174"/>
      <c r="AI1082" s="883"/>
      <c r="AJ1082" s="883"/>
      <c r="AK1082" s="260"/>
      <c r="AL1082" s="88"/>
      <c r="AM1082" s="89"/>
      <c r="AN1082" s="89"/>
      <c r="AO1082" s="89"/>
      <c r="AP1082" s="89"/>
      <c r="AQ1082" s="89"/>
      <c r="AR1082" s="89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  <c r="BM1082" s="58"/>
      <c r="BN1082" s="58"/>
      <c r="BO1082" s="58"/>
      <c r="BP1082" s="58"/>
      <c r="BQ1082" s="58"/>
      <c r="BR1082" s="58"/>
      <c r="BS1082" s="58"/>
      <c r="BT1082" s="58"/>
      <c r="BU1082" s="58"/>
      <c r="BV1082" s="58"/>
      <c r="BW1082" s="58"/>
      <c r="BX1082" s="58"/>
      <c r="BY1082" s="58"/>
      <c r="BZ1082" s="58"/>
      <c r="CA1082" s="58"/>
      <c r="CB1082" s="58"/>
      <c r="CC1082" s="58"/>
      <c r="CD1082" s="58"/>
      <c r="CE1082" s="58"/>
      <c r="CF1082" s="58"/>
      <c r="CG1082" s="58"/>
      <c r="CH1082" s="58"/>
    </row>
    <row r="1083" spans="1:86" s="59" customFormat="1" ht="21.75" hidden="1" customHeight="1" x14ac:dyDescent="0.2">
      <c r="A1083" s="1179"/>
      <c r="B1083" s="1793"/>
      <c r="C1083" s="1781"/>
      <c r="D1083" s="2051"/>
      <c r="E1083" s="1790"/>
      <c r="F1083" s="2051"/>
      <c r="G1083" s="1790"/>
      <c r="H1083" s="1301"/>
      <c r="I1083" s="1301"/>
      <c r="J1083" s="925" t="s">
        <v>35</v>
      </c>
      <c r="K1083" s="925">
        <v>7</v>
      </c>
      <c r="L1083" s="885" t="s">
        <v>512</v>
      </c>
      <c r="M1083" s="2027"/>
      <c r="N1083" s="374"/>
      <c r="O1083" s="89"/>
      <c r="P1083" s="89"/>
      <c r="Q1083" s="89"/>
      <c r="R1083" s="89"/>
      <c r="S1083" s="209"/>
      <c r="T1083" s="89"/>
      <c r="U1083" s="89"/>
      <c r="V1083" s="89"/>
      <c r="W1083" s="87"/>
      <c r="X1083" s="88"/>
      <c r="Y1083" s="240"/>
      <c r="Z1083" s="89"/>
      <c r="AA1083" s="89"/>
      <c r="AB1083" s="89"/>
      <c r="AC1083" s="89"/>
      <c r="AD1083" s="89"/>
      <c r="AE1083" s="89"/>
      <c r="AF1083" s="174"/>
      <c r="AG1083" s="174"/>
      <c r="AH1083" s="883"/>
      <c r="AI1083" s="883"/>
      <c r="AJ1083" s="883"/>
      <c r="AK1083" s="260"/>
      <c r="AL1083" s="88"/>
      <c r="AM1083" s="89"/>
      <c r="AN1083" s="89"/>
      <c r="AO1083" s="89"/>
      <c r="AP1083" s="89"/>
      <c r="AQ1083" s="89"/>
      <c r="AR1083" s="89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  <c r="BM1083" s="58"/>
      <c r="BN1083" s="58"/>
      <c r="BO1083" s="58"/>
      <c r="BP1083" s="58"/>
      <c r="BQ1083" s="58"/>
      <c r="BR1083" s="58"/>
      <c r="BS1083" s="58"/>
      <c r="BT1083" s="58"/>
      <c r="BU1083" s="58"/>
      <c r="BV1083" s="58"/>
      <c r="BW1083" s="58"/>
      <c r="BX1083" s="58"/>
      <c r="BY1083" s="58"/>
      <c r="BZ1083" s="58"/>
      <c r="CA1083" s="58"/>
      <c r="CB1083" s="58"/>
      <c r="CC1083" s="58"/>
      <c r="CD1083" s="58"/>
      <c r="CE1083" s="58"/>
      <c r="CF1083" s="58"/>
      <c r="CG1083" s="58"/>
      <c r="CH1083" s="58"/>
    </row>
    <row r="1084" spans="1:86" s="59" customFormat="1" ht="21.75" hidden="1" customHeight="1" x14ac:dyDescent="0.2">
      <c r="A1084" s="1180"/>
      <c r="B1084" s="434"/>
      <c r="C1084" s="977" t="s">
        <v>1075</v>
      </c>
      <c r="D1084" s="164"/>
      <c r="E1084" s="435"/>
      <c r="F1084" s="164"/>
      <c r="G1084" s="435"/>
      <c r="H1084" s="434"/>
      <c r="I1084" s="434"/>
      <c r="J1084" s="436"/>
      <c r="K1084" s="425"/>
      <c r="L1084" s="1162"/>
      <c r="M1084" s="437"/>
      <c r="N1084" s="374"/>
      <c r="O1084" s="89"/>
      <c r="P1084" s="89"/>
      <c r="Q1084" s="89"/>
      <c r="R1084" s="89"/>
      <c r="S1084" s="209"/>
      <c r="T1084" s="89"/>
      <c r="U1084" s="89"/>
      <c r="V1084" s="89"/>
      <c r="W1084" s="87"/>
      <c r="X1084" s="88"/>
      <c r="Y1084" s="240"/>
      <c r="Z1084" s="89"/>
      <c r="AA1084" s="89"/>
      <c r="AB1084" s="89"/>
      <c r="AC1084" s="89"/>
      <c r="AD1084" s="89"/>
      <c r="AE1084" s="89"/>
      <c r="AF1084" s="174"/>
      <c r="AG1084" s="174"/>
      <c r="AH1084" s="883"/>
      <c r="AI1084" s="883"/>
      <c r="AJ1084" s="883"/>
      <c r="AK1084" s="260"/>
      <c r="AL1084" s="88"/>
      <c r="AM1084" s="89"/>
      <c r="AN1084" s="89"/>
      <c r="AO1084" s="89"/>
      <c r="AP1084" s="89"/>
      <c r="AQ1084" s="89"/>
      <c r="AR1084" s="89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  <c r="BM1084" s="58"/>
      <c r="BN1084" s="58"/>
      <c r="BO1084" s="58"/>
      <c r="BP1084" s="58"/>
      <c r="BQ1084" s="58"/>
      <c r="BR1084" s="58"/>
      <c r="BS1084" s="58"/>
      <c r="BT1084" s="58"/>
      <c r="BU1084" s="58"/>
      <c r="BV1084" s="58"/>
      <c r="BW1084" s="58"/>
      <c r="BX1084" s="58"/>
      <c r="BY1084" s="58"/>
      <c r="BZ1084" s="58"/>
      <c r="CA1084" s="58"/>
      <c r="CB1084" s="58"/>
      <c r="CC1084" s="58"/>
      <c r="CD1084" s="58"/>
      <c r="CE1084" s="58"/>
      <c r="CF1084" s="58"/>
      <c r="CG1084" s="58"/>
      <c r="CH1084" s="58"/>
    </row>
    <row r="1085" spans="1:86" s="59" customFormat="1" ht="34.15" hidden="1" customHeight="1" x14ac:dyDescent="0.2">
      <c r="A1085" s="1180"/>
      <c r="B1085" s="434"/>
      <c r="C1085" s="919" t="s">
        <v>1077</v>
      </c>
      <c r="D1085" s="975"/>
      <c r="E1085" s="1178"/>
      <c r="F1085" s="975"/>
      <c r="G1085" s="1113"/>
      <c r="H1085" s="878"/>
      <c r="I1085" s="878"/>
      <c r="J1085" s="878"/>
      <c r="K1085" s="897"/>
      <c r="L1085" s="878"/>
      <c r="M1085" s="1088">
        <v>0</v>
      </c>
      <c r="N1085" s="374"/>
      <c r="O1085" s="89"/>
      <c r="P1085" s="89"/>
      <c r="Q1085" s="89"/>
      <c r="R1085" s="89"/>
      <c r="S1085" s="209"/>
      <c r="T1085" s="89"/>
      <c r="U1085" s="89"/>
      <c r="V1085" s="89"/>
      <c r="W1085" s="87"/>
      <c r="X1085" s="88"/>
      <c r="Y1085" s="240"/>
      <c r="Z1085" s="89"/>
      <c r="AA1085" s="89"/>
      <c r="AB1085" s="89"/>
      <c r="AC1085" s="89"/>
      <c r="AD1085" s="89"/>
      <c r="AE1085" s="89"/>
      <c r="AF1085" s="174"/>
      <c r="AG1085" s="174"/>
      <c r="AH1085" s="883"/>
      <c r="AI1085" s="883"/>
      <c r="AJ1085" s="883"/>
      <c r="AK1085" s="260"/>
      <c r="AL1085" s="88"/>
      <c r="AM1085" s="89"/>
      <c r="AN1085" s="89"/>
      <c r="AO1085" s="89"/>
      <c r="AP1085" s="89"/>
      <c r="AQ1085" s="89"/>
      <c r="AR1085" s="89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  <c r="BM1085" s="58"/>
      <c r="BN1085" s="58"/>
      <c r="BO1085" s="58"/>
      <c r="BP1085" s="58"/>
      <c r="BQ1085" s="58"/>
      <c r="BR1085" s="58"/>
      <c r="BS1085" s="58"/>
      <c r="BT1085" s="58"/>
      <c r="BU1085" s="58"/>
      <c r="BV1085" s="58"/>
      <c r="BW1085" s="58"/>
      <c r="BX1085" s="58"/>
      <c r="BY1085" s="58"/>
      <c r="BZ1085" s="58"/>
      <c r="CA1085" s="58"/>
      <c r="CB1085" s="58"/>
      <c r="CC1085" s="58"/>
      <c r="CD1085" s="58"/>
      <c r="CE1085" s="58"/>
      <c r="CF1085" s="58"/>
      <c r="CG1085" s="58"/>
      <c r="CH1085" s="58"/>
    </row>
    <row r="1086" spans="1:86" s="59" customFormat="1" ht="29.65" hidden="1" customHeight="1" thickBot="1" x14ac:dyDescent="0.25">
      <c r="A1086" s="1179"/>
      <c r="B1086" s="438"/>
      <c r="C1086" s="949" t="s">
        <v>1076</v>
      </c>
      <c r="D1086" s="1128"/>
      <c r="E1086" s="540"/>
      <c r="F1086" s="1128"/>
      <c r="G1086" s="788"/>
      <c r="H1086" s="885"/>
      <c r="I1086" s="885"/>
      <c r="J1086" s="885"/>
      <c r="K1086" s="910"/>
      <c r="L1086" s="885"/>
      <c r="M1086" s="454">
        <f>M1081</f>
        <v>22821.13811</v>
      </c>
      <c r="N1086" s="374"/>
      <c r="O1086" s="89"/>
      <c r="P1086" s="89"/>
      <c r="Q1086" s="89"/>
      <c r="R1086" s="89"/>
      <c r="S1086" s="209"/>
      <c r="T1086" s="89"/>
      <c r="U1086" s="89"/>
      <c r="V1086" s="89"/>
      <c r="W1086" s="87"/>
      <c r="X1086" s="88"/>
      <c r="Y1086" s="240"/>
      <c r="Z1086" s="89"/>
      <c r="AA1086" s="89"/>
      <c r="AB1086" s="89"/>
      <c r="AC1086" s="89"/>
      <c r="AD1086" s="89"/>
      <c r="AE1086" s="89"/>
      <c r="AF1086" s="174"/>
      <c r="AG1086" s="174"/>
      <c r="AH1086" s="883"/>
      <c r="AI1086" s="883"/>
      <c r="AJ1086" s="883"/>
      <c r="AK1086" s="260"/>
      <c r="AL1086" s="88"/>
      <c r="AM1086" s="89"/>
      <c r="AN1086" s="89"/>
      <c r="AO1086" s="89"/>
      <c r="AP1086" s="89"/>
      <c r="AQ1086" s="89"/>
      <c r="AR1086" s="89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  <c r="BM1086" s="58"/>
      <c r="BN1086" s="58"/>
      <c r="BO1086" s="58"/>
      <c r="BP1086" s="58"/>
      <c r="BQ1086" s="58"/>
      <c r="BR1086" s="58"/>
      <c r="BS1086" s="58"/>
      <c r="BT1086" s="58"/>
      <c r="BU1086" s="58"/>
      <c r="BV1086" s="58"/>
      <c r="BW1086" s="58"/>
      <c r="BX1086" s="58"/>
      <c r="BY1086" s="58"/>
      <c r="BZ1086" s="58"/>
      <c r="CA1086" s="58"/>
      <c r="CB1086" s="58"/>
      <c r="CC1086" s="58"/>
      <c r="CD1086" s="58"/>
      <c r="CE1086" s="58"/>
      <c r="CF1086" s="58"/>
      <c r="CG1086" s="58"/>
      <c r="CH1086" s="58"/>
    </row>
    <row r="1087" spans="1:86" s="59" customFormat="1" ht="21.75" customHeight="1" x14ac:dyDescent="0.2">
      <c r="A1087" s="1787">
        <v>3</v>
      </c>
      <c r="B1087" s="1791">
        <v>2240511</v>
      </c>
      <c r="C1087" s="2035" t="s">
        <v>117</v>
      </c>
      <c r="D1087" s="2050">
        <v>1.663</v>
      </c>
      <c r="E1087" s="2052">
        <v>17794</v>
      </c>
      <c r="F1087" s="2050">
        <v>1.663</v>
      </c>
      <c r="G1087" s="2052">
        <v>17794</v>
      </c>
      <c r="H1087" s="2245" t="s">
        <v>441</v>
      </c>
      <c r="I1087" s="2235" t="s">
        <v>1078</v>
      </c>
      <c r="J1087" s="1269" t="s">
        <v>5</v>
      </c>
      <c r="K1087" s="462">
        <f>1.675-0.012</f>
        <v>1.663</v>
      </c>
      <c r="L1087" s="877" t="s">
        <v>2</v>
      </c>
      <c r="M1087" s="2242">
        <f>25757.236-4164.11105</f>
        <v>21593.124950000001</v>
      </c>
      <c r="N1087" s="552"/>
      <c r="O1087" s="89"/>
      <c r="P1087" s="89"/>
      <c r="Q1087" s="89"/>
      <c r="R1087" s="89"/>
      <c r="S1087" s="209"/>
      <c r="T1087" s="89"/>
      <c r="U1087" s="89"/>
      <c r="V1087" s="89"/>
      <c r="W1087" s="87"/>
      <c r="X1087" s="88"/>
      <c r="Y1087" s="240"/>
      <c r="Z1087" s="89"/>
      <c r="AA1087" s="89"/>
      <c r="AB1087" s="89"/>
      <c r="AC1087" s="89"/>
      <c r="AD1087" s="89"/>
      <c r="AE1087" s="89"/>
      <c r="AF1087" s="259"/>
      <c r="AG1087" s="45"/>
      <c r="AH1087" s="45"/>
      <c r="AI1087" s="800"/>
      <c r="AJ1087" s="1051"/>
      <c r="AK1087" s="260"/>
      <c r="AL1087" s="249"/>
      <c r="AM1087" s="45"/>
      <c r="AN1087" s="45"/>
      <c r="AO1087" s="800"/>
      <c r="AP1087" s="1051"/>
      <c r="AQ1087" s="260"/>
      <c r="AR1087" s="246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  <c r="BM1087" s="58"/>
      <c r="BN1087" s="58"/>
      <c r="BO1087" s="58"/>
      <c r="BP1087" s="58"/>
      <c r="BQ1087" s="58"/>
      <c r="BR1087" s="58"/>
      <c r="BS1087" s="58"/>
      <c r="BT1087" s="58"/>
      <c r="BU1087" s="58"/>
      <c r="BV1087" s="58"/>
      <c r="BW1087" s="58"/>
      <c r="BX1087" s="58"/>
      <c r="BY1087" s="58"/>
      <c r="BZ1087" s="58"/>
      <c r="CA1087" s="58"/>
      <c r="CB1087" s="58"/>
      <c r="CC1087" s="58"/>
      <c r="CD1087" s="58"/>
      <c r="CE1087" s="58"/>
      <c r="CF1087" s="58"/>
      <c r="CG1087" s="58"/>
      <c r="CH1087" s="58"/>
    </row>
    <row r="1088" spans="1:86" s="59" customFormat="1" ht="21.75" customHeight="1" thickBot="1" x14ac:dyDescent="0.25">
      <c r="A1088" s="1788"/>
      <c r="B1088" s="1792"/>
      <c r="C1088" s="1699"/>
      <c r="D1088" s="1421"/>
      <c r="E1088" s="2053"/>
      <c r="F1088" s="1421"/>
      <c r="G1088" s="2053"/>
      <c r="H1088" s="2246"/>
      <c r="I1088" s="2236"/>
      <c r="J1088" s="1213"/>
      <c r="K1088" s="441">
        <v>17794</v>
      </c>
      <c r="L1088" s="878" t="s">
        <v>530</v>
      </c>
      <c r="M1088" s="2243"/>
      <c r="N1088" s="374"/>
      <c r="O1088" s="89"/>
      <c r="P1088" s="89"/>
      <c r="Q1088" s="89"/>
      <c r="R1088" s="89"/>
      <c r="S1088" s="209"/>
      <c r="T1088" s="89"/>
      <c r="U1088" s="89"/>
      <c r="V1088" s="89"/>
      <c r="W1088" s="87"/>
      <c r="X1088" s="88"/>
      <c r="Y1088" s="240"/>
      <c r="Z1088" s="89"/>
      <c r="AA1088" s="89"/>
      <c r="AB1088" s="89"/>
      <c r="AC1088" s="89"/>
      <c r="AD1088" s="89"/>
      <c r="AE1088" s="89"/>
      <c r="AF1088" s="259"/>
      <c r="AG1088" s="45"/>
      <c r="AH1088" s="45"/>
      <c r="AI1088" s="1051"/>
      <c r="AJ1088" s="1051"/>
      <c r="AK1088" s="260"/>
      <c r="AL1088" s="249"/>
      <c r="AM1088" s="45"/>
      <c r="AN1088" s="45"/>
      <c r="AO1088" s="43"/>
      <c r="AP1088" s="1051"/>
      <c r="AQ1088" s="260"/>
      <c r="AR1088" s="8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  <c r="BM1088" s="58"/>
      <c r="BN1088" s="58"/>
      <c r="BO1088" s="58"/>
      <c r="BP1088" s="58"/>
      <c r="BQ1088" s="58"/>
      <c r="BR1088" s="58"/>
      <c r="BS1088" s="58"/>
      <c r="BT1088" s="58"/>
      <c r="BU1088" s="58"/>
      <c r="BV1088" s="58"/>
      <c r="BW1088" s="58"/>
      <c r="BX1088" s="58"/>
      <c r="BY1088" s="58"/>
      <c r="BZ1088" s="58"/>
      <c r="CA1088" s="58"/>
      <c r="CB1088" s="58"/>
      <c r="CC1088" s="58"/>
      <c r="CD1088" s="58"/>
      <c r="CE1088" s="58"/>
      <c r="CF1088" s="58"/>
      <c r="CG1088" s="58"/>
      <c r="CH1088" s="58"/>
    </row>
    <row r="1089" spans="1:86" s="59" customFormat="1" ht="28.9" hidden="1" customHeight="1" thickBot="1" x14ac:dyDescent="0.25">
      <c r="A1089" s="1179"/>
      <c r="B1089" s="1793"/>
      <c r="C1089" s="1781"/>
      <c r="D1089" s="2051"/>
      <c r="E1089" s="2054"/>
      <c r="F1089" s="2051"/>
      <c r="G1089" s="2054"/>
      <c r="H1089" s="2247"/>
      <c r="I1089" s="2237"/>
      <c r="J1089" s="430" t="s">
        <v>35</v>
      </c>
      <c r="K1089" s="430">
        <v>6</v>
      </c>
      <c r="L1089" s="430" t="s">
        <v>512</v>
      </c>
      <c r="M1089" s="2244"/>
      <c r="N1089" s="374"/>
      <c r="O1089" s="89"/>
      <c r="P1089" s="89"/>
      <c r="Q1089" s="89"/>
      <c r="R1089" s="89"/>
      <c r="S1089" s="209"/>
      <c r="T1089" s="89"/>
      <c r="U1089" s="89"/>
      <c r="V1089" s="89"/>
      <c r="W1089" s="87"/>
      <c r="X1089" s="88"/>
      <c r="Y1089" s="240"/>
      <c r="Z1089" s="89"/>
      <c r="AA1089" s="89"/>
      <c r="AB1089" s="89"/>
      <c r="AC1089" s="89"/>
      <c r="AD1089" s="89"/>
      <c r="AE1089" s="89"/>
      <c r="AF1089" s="259"/>
      <c r="AG1089" s="45"/>
      <c r="AH1089" s="1051"/>
      <c r="AI1089" s="1051"/>
      <c r="AJ1089" s="1051"/>
      <c r="AK1089" s="260"/>
      <c r="AL1089" s="249"/>
      <c r="AM1089" s="45"/>
      <c r="AN1089" s="1051"/>
      <c r="AO1089" s="1051"/>
      <c r="AP1089" s="1051"/>
      <c r="AQ1089" s="260"/>
      <c r="AR1089" s="8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  <c r="BM1089" s="58"/>
      <c r="BN1089" s="58"/>
      <c r="BO1089" s="58"/>
      <c r="BP1089" s="58"/>
      <c r="BQ1089" s="58"/>
      <c r="BR1089" s="58"/>
      <c r="BS1089" s="58"/>
      <c r="BT1089" s="58"/>
      <c r="BU1089" s="58"/>
      <c r="BV1089" s="58"/>
      <c r="BW1089" s="58"/>
      <c r="BX1089" s="58"/>
      <c r="BY1089" s="58"/>
      <c r="BZ1089" s="58"/>
      <c r="CA1089" s="58"/>
      <c r="CB1089" s="58"/>
      <c r="CC1089" s="58"/>
      <c r="CD1089" s="58"/>
      <c r="CE1089" s="58"/>
      <c r="CF1089" s="58"/>
      <c r="CG1089" s="58"/>
      <c r="CH1089" s="58"/>
    </row>
    <row r="1090" spans="1:86" s="59" customFormat="1" ht="21.2" hidden="1" customHeight="1" x14ac:dyDescent="0.2">
      <c r="A1090" s="1180"/>
      <c r="B1090" s="434"/>
      <c r="C1090" s="977" t="s">
        <v>1075</v>
      </c>
      <c r="D1090" s="164"/>
      <c r="E1090" s="435"/>
      <c r="F1090" s="164"/>
      <c r="G1090" s="435"/>
      <c r="H1090" s="434"/>
      <c r="I1090" s="434"/>
      <c r="J1090" s="436"/>
      <c r="K1090" s="425"/>
      <c r="L1090" s="425"/>
      <c r="M1090" s="437"/>
      <c r="N1090" s="374"/>
      <c r="O1090" s="89"/>
      <c r="P1090" s="89"/>
      <c r="Q1090" s="89"/>
      <c r="R1090" s="89"/>
      <c r="S1090" s="209"/>
      <c r="T1090" s="89"/>
      <c r="U1090" s="89"/>
      <c r="V1090" s="89"/>
      <c r="W1090" s="375"/>
      <c r="X1090" s="89"/>
      <c r="Y1090" s="240"/>
      <c r="Z1090" s="357"/>
      <c r="AA1090" s="357"/>
      <c r="AB1090" s="357"/>
      <c r="AC1090" s="89"/>
      <c r="AD1090" s="89"/>
      <c r="AE1090" s="426"/>
      <c r="AF1090" s="439"/>
      <c r="AG1090" s="429"/>
      <c r="AH1090" s="959"/>
      <c r="AI1090" s="959"/>
      <c r="AJ1090" s="959"/>
      <c r="AK1090" s="427"/>
      <c r="AL1090" s="249"/>
      <c r="AM1090" s="45"/>
      <c r="AN1090" s="1051"/>
      <c r="AO1090" s="1051"/>
      <c r="AP1090" s="1051"/>
      <c r="AQ1090" s="260"/>
      <c r="AR1090" s="8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  <c r="BM1090" s="58"/>
      <c r="BN1090" s="58"/>
      <c r="BO1090" s="58"/>
      <c r="BP1090" s="58"/>
      <c r="BQ1090" s="58"/>
      <c r="BR1090" s="58"/>
      <c r="BS1090" s="58"/>
      <c r="BT1090" s="58"/>
      <c r="BU1090" s="58"/>
      <c r="BV1090" s="58"/>
      <c r="BW1090" s="58"/>
      <c r="BX1090" s="58"/>
      <c r="BY1090" s="58"/>
      <c r="BZ1090" s="58"/>
      <c r="CA1090" s="58"/>
      <c r="CB1090" s="58"/>
      <c r="CC1090" s="58"/>
      <c r="CD1090" s="58"/>
      <c r="CE1090" s="58"/>
      <c r="CF1090" s="58"/>
      <c r="CG1090" s="58"/>
      <c r="CH1090" s="58"/>
    </row>
    <row r="1091" spans="1:86" s="59" customFormat="1" ht="35.65" hidden="1" customHeight="1" x14ac:dyDescent="0.2">
      <c r="A1091" s="1180"/>
      <c r="B1091" s="434"/>
      <c r="C1091" s="919" t="s">
        <v>1077</v>
      </c>
      <c r="D1091" s="975"/>
      <c r="E1091" s="1178"/>
      <c r="F1091" s="975"/>
      <c r="G1091" s="1113"/>
      <c r="H1091" s="878"/>
      <c r="I1091" s="878"/>
      <c r="J1091" s="878"/>
      <c r="K1091" s="897"/>
      <c r="L1091" s="1116"/>
      <c r="M1091" s="1088">
        <v>0</v>
      </c>
      <c r="N1091" s="374"/>
      <c r="O1091" s="89"/>
      <c r="P1091" s="89"/>
      <c r="Q1091" s="89"/>
      <c r="R1091" s="89"/>
      <c r="S1091" s="209"/>
      <c r="T1091" s="89"/>
      <c r="U1091" s="89"/>
      <c r="V1091" s="89"/>
      <c r="W1091" s="375"/>
      <c r="X1091" s="89"/>
      <c r="Y1091" s="240"/>
      <c r="Z1091" s="357"/>
      <c r="AA1091" s="357"/>
      <c r="AB1091" s="357"/>
      <c r="AC1091" s="89"/>
      <c r="AD1091" s="89"/>
      <c r="AE1091" s="426"/>
      <c r="AF1091" s="439"/>
      <c r="AG1091" s="429"/>
      <c r="AH1091" s="959"/>
      <c r="AI1091" s="959"/>
      <c r="AJ1091" s="959"/>
      <c r="AK1091" s="427"/>
      <c r="AL1091" s="249"/>
      <c r="AM1091" s="45"/>
      <c r="AN1091" s="1051"/>
      <c r="AO1091" s="1051"/>
      <c r="AP1091" s="1051"/>
      <c r="AQ1091" s="260"/>
      <c r="AR1091" s="8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  <c r="BM1091" s="58"/>
      <c r="BN1091" s="58"/>
      <c r="BO1091" s="58"/>
      <c r="BP1091" s="58"/>
      <c r="BQ1091" s="58"/>
      <c r="BR1091" s="58"/>
      <c r="BS1091" s="58"/>
      <c r="BT1091" s="58"/>
      <c r="BU1091" s="58"/>
      <c r="BV1091" s="58"/>
      <c r="BW1091" s="58"/>
      <c r="BX1091" s="58"/>
      <c r="BY1091" s="58"/>
      <c r="BZ1091" s="58"/>
      <c r="CA1091" s="58"/>
      <c r="CB1091" s="58"/>
      <c r="CC1091" s="58"/>
      <c r="CD1091" s="58"/>
      <c r="CE1091" s="58"/>
      <c r="CF1091" s="58"/>
      <c r="CG1091" s="58"/>
      <c r="CH1091" s="58"/>
    </row>
    <row r="1092" spans="1:86" s="59" customFormat="1" ht="27.6" hidden="1" customHeight="1" thickBot="1" x14ac:dyDescent="0.25">
      <c r="A1092" s="433"/>
      <c r="B1092" s="1064"/>
      <c r="C1092" s="940" t="s">
        <v>1076</v>
      </c>
      <c r="D1092" s="984"/>
      <c r="E1092" s="416"/>
      <c r="F1092" s="984"/>
      <c r="G1092" s="1046"/>
      <c r="H1092" s="965"/>
      <c r="I1092" s="965"/>
      <c r="J1092" s="965"/>
      <c r="K1092" s="1025"/>
      <c r="L1092" s="1038"/>
      <c r="M1092" s="505">
        <f>M1087</f>
        <v>21593.124950000001</v>
      </c>
      <c r="N1092" s="524"/>
      <c r="O1092" s="525"/>
      <c r="P1092" s="525"/>
      <c r="Q1092" s="525"/>
      <c r="R1092" s="525"/>
      <c r="S1092" s="526"/>
      <c r="T1092" s="357"/>
      <c r="U1092" s="357"/>
      <c r="V1092" s="357"/>
      <c r="W1092" s="499"/>
      <c r="X1092" s="357"/>
      <c r="Y1092" s="358"/>
      <c r="Z1092" s="357"/>
      <c r="AA1092" s="357"/>
      <c r="AB1092" s="357"/>
      <c r="AC1092" s="357"/>
      <c r="AD1092" s="357"/>
      <c r="AE1092" s="426"/>
      <c r="AF1092" s="500"/>
      <c r="AG1092" s="501"/>
      <c r="AH1092" s="960"/>
      <c r="AI1092" s="960"/>
      <c r="AJ1092" s="960"/>
      <c r="AK1092" s="502"/>
      <c r="AL1092" s="496"/>
      <c r="AM1092" s="497"/>
      <c r="AN1092" s="958"/>
      <c r="AO1092" s="958"/>
      <c r="AP1092" s="958"/>
      <c r="AQ1092" s="498"/>
      <c r="AR1092" s="356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  <c r="BM1092" s="58"/>
      <c r="BN1092" s="58"/>
      <c r="BO1092" s="58"/>
      <c r="BP1092" s="58"/>
      <c r="BQ1092" s="58"/>
      <c r="BR1092" s="58"/>
      <c r="BS1092" s="58"/>
      <c r="BT1092" s="58"/>
      <c r="BU1092" s="58"/>
      <c r="BV1092" s="58"/>
      <c r="BW1092" s="58"/>
      <c r="BX1092" s="58"/>
      <c r="BY1092" s="58"/>
      <c r="BZ1092" s="58"/>
      <c r="CA1092" s="58"/>
      <c r="CB1092" s="58"/>
      <c r="CC1092" s="58"/>
      <c r="CD1092" s="58"/>
      <c r="CE1092" s="58"/>
      <c r="CF1092" s="58"/>
      <c r="CG1092" s="58"/>
      <c r="CH1092" s="58"/>
    </row>
    <row r="1093" spans="1:86" s="495" customFormat="1" ht="21.75" customHeight="1" x14ac:dyDescent="0.2">
      <c r="A1093" s="1544">
        <v>4</v>
      </c>
      <c r="B1093" s="1652">
        <v>3404379</v>
      </c>
      <c r="C1093" s="1649" t="s">
        <v>1400</v>
      </c>
      <c r="D1093" s="2032">
        <f>F1093</f>
        <v>1.0395000000000001</v>
      </c>
      <c r="E1093" s="2029">
        <v>5095</v>
      </c>
      <c r="F1093" s="2032">
        <f>1.068-0.0285</f>
        <v>1.0395000000000001</v>
      </c>
      <c r="G1093" s="2029">
        <v>5095.3999999999996</v>
      </c>
      <c r="H1093" s="376"/>
      <c r="I1093" s="376"/>
      <c r="J1093" s="376"/>
      <c r="K1093" s="376"/>
      <c r="L1093" s="376"/>
      <c r="M1093" s="376"/>
      <c r="N1093" s="1303" t="s">
        <v>441</v>
      </c>
      <c r="O1093" s="1303" t="s">
        <v>1404</v>
      </c>
      <c r="P1093" s="1238" t="s">
        <v>5</v>
      </c>
      <c r="Q1093" s="641">
        <v>1.0395000000000001</v>
      </c>
      <c r="R1093" s="877" t="s">
        <v>2</v>
      </c>
      <c r="S1093" s="1222">
        <f>10098.83732-S1095</f>
        <v>10072.88732</v>
      </c>
      <c r="T1093" s="523"/>
      <c r="U1093" s="88"/>
      <c r="V1093" s="88"/>
      <c r="W1093" s="87"/>
      <c r="X1093" s="88"/>
      <c r="Y1093" s="404"/>
      <c r="Z1093" s="88"/>
      <c r="AA1093" s="88"/>
      <c r="AB1093" s="88"/>
      <c r="AC1093" s="88"/>
      <c r="AD1093" s="88"/>
      <c r="AE1093" s="88"/>
      <c r="AF1093" s="174"/>
      <c r="AG1093" s="174"/>
      <c r="AH1093" s="174"/>
      <c r="AI1093" s="42"/>
      <c r="AJ1093" s="883"/>
      <c r="AK1093" s="503"/>
      <c r="AL1093" s="246"/>
      <c r="AM1093" s="88"/>
      <c r="AN1093" s="88"/>
      <c r="AO1093" s="88"/>
      <c r="AP1093" s="88"/>
      <c r="AQ1093" s="88"/>
      <c r="AR1093" s="88"/>
      <c r="AS1093" s="494"/>
      <c r="AT1093" s="494"/>
      <c r="AU1093" s="494"/>
      <c r="AV1093" s="494"/>
      <c r="AW1093" s="494"/>
      <c r="AX1093" s="494"/>
      <c r="AY1093" s="494"/>
      <c r="AZ1093" s="494"/>
      <c r="BA1093" s="494"/>
      <c r="BB1093" s="494"/>
      <c r="BC1093" s="494"/>
      <c r="BD1093" s="494"/>
      <c r="BE1093" s="494"/>
      <c r="BF1093" s="494"/>
      <c r="BG1093" s="494"/>
      <c r="BH1093" s="494"/>
      <c r="BI1093" s="494"/>
      <c r="BJ1093" s="494"/>
      <c r="BK1093" s="494"/>
      <c r="BL1093" s="494"/>
      <c r="BM1093" s="494"/>
      <c r="BN1093" s="494"/>
      <c r="BO1093" s="494"/>
      <c r="BP1093" s="494"/>
      <c r="BQ1093" s="494"/>
      <c r="BR1093" s="494"/>
      <c r="BS1093" s="494"/>
      <c r="BT1093" s="494"/>
      <c r="BU1093" s="494"/>
      <c r="BV1093" s="494"/>
      <c r="BW1093" s="494"/>
      <c r="BX1093" s="494"/>
      <c r="BY1093" s="494"/>
      <c r="BZ1093" s="494"/>
      <c r="CA1093" s="494"/>
      <c r="CB1093" s="494"/>
      <c r="CC1093" s="494"/>
      <c r="CD1093" s="494"/>
      <c r="CE1093" s="494"/>
      <c r="CF1093" s="494"/>
      <c r="CG1093" s="494"/>
      <c r="CH1093" s="494"/>
    </row>
    <row r="1094" spans="1:86" s="495" customFormat="1" ht="21.75" customHeight="1" thickBot="1" x14ac:dyDescent="0.25">
      <c r="A1094" s="1545"/>
      <c r="B1094" s="1653"/>
      <c r="C1094" s="1650"/>
      <c r="D1094" s="2033"/>
      <c r="E1094" s="2030"/>
      <c r="F1094" s="2033"/>
      <c r="G1094" s="2030"/>
      <c r="H1094" s="380"/>
      <c r="I1094" s="380"/>
      <c r="J1094" s="380"/>
      <c r="K1094" s="380"/>
      <c r="L1094" s="380"/>
      <c r="M1094" s="380"/>
      <c r="N1094" s="1564"/>
      <c r="O1094" s="1564"/>
      <c r="P1094" s="1233"/>
      <c r="Q1094" s="878">
        <v>5075.3999999999996</v>
      </c>
      <c r="R1094" s="878" t="s">
        <v>4</v>
      </c>
      <c r="S1094" s="1223"/>
      <c r="T1094" s="523"/>
      <c r="U1094" s="88"/>
      <c r="V1094" s="88"/>
      <c r="W1094" s="87"/>
      <c r="X1094" s="88"/>
      <c r="Y1094" s="404"/>
      <c r="Z1094" s="88"/>
      <c r="AA1094" s="88"/>
      <c r="AB1094" s="88"/>
      <c r="AC1094" s="88"/>
      <c r="AD1094" s="88"/>
      <c r="AE1094" s="88"/>
      <c r="AF1094" s="174"/>
      <c r="AG1094" s="174"/>
      <c r="AH1094" s="174"/>
      <c r="AI1094" s="883"/>
      <c r="AJ1094" s="883"/>
      <c r="AK1094" s="503"/>
      <c r="AL1094" s="88"/>
      <c r="AM1094" s="88"/>
      <c r="AN1094" s="88"/>
      <c r="AO1094" s="88"/>
      <c r="AP1094" s="88"/>
      <c r="AQ1094" s="88"/>
      <c r="AR1094" s="88"/>
      <c r="AS1094" s="494"/>
      <c r="AT1094" s="494"/>
      <c r="AU1094" s="494"/>
      <c r="AV1094" s="494"/>
      <c r="AW1094" s="494"/>
      <c r="AX1094" s="494"/>
      <c r="AY1094" s="494"/>
      <c r="AZ1094" s="494"/>
      <c r="BA1094" s="494"/>
      <c r="BB1094" s="494"/>
      <c r="BC1094" s="494"/>
      <c r="BD1094" s="494"/>
      <c r="BE1094" s="494"/>
      <c r="BF1094" s="494"/>
      <c r="BG1094" s="494"/>
      <c r="BH1094" s="494"/>
      <c r="BI1094" s="494"/>
      <c r="BJ1094" s="494"/>
      <c r="BK1094" s="494"/>
      <c r="BL1094" s="494"/>
      <c r="BM1094" s="494"/>
      <c r="BN1094" s="494"/>
      <c r="BO1094" s="494"/>
      <c r="BP1094" s="494"/>
      <c r="BQ1094" s="494"/>
      <c r="BR1094" s="494"/>
      <c r="BS1094" s="494"/>
      <c r="BT1094" s="494"/>
      <c r="BU1094" s="494"/>
      <c r="BV1094" s="494"/>
      <c r="BW1094" s="494"/>
      <c r="BX1094" s="494"/>
      <c r="BY1094" s="494"/>
      <c r="BZ1094" s="494"/>
      <c r="CA1094" s="494"/>
      <c r="CB1094" s="494"/>
      <c r="CC1094" s="494"/>
      <c r="CD1094" s="494"/>
      <c r="CE1094" s="494"/>
      <c r="CF1094" s="494"/>
      <c r="CG1094" s="494"/>
      <c r="CH1094" s="494"/>
    </row>
    <row r="1095" spans="1:86" s="495" customFormat="1" ht="35.65" customHeight="1" thickBot="1" x14ac:dyDescent="0.25">
      <c r="A1095" s="1571"/>
      <c r="B1095" s="1654"/>
      <c r="C1095" s="1651"/>
      <c r="D1095" s="2034"/>
      <c r="E1095" s="2031"/>
      <c r="F1095" s="2034"/>
      <c r="G1095" s="2031"/>
      <c r="H1095" s="377"/>
      <c r="I1095" s="377"/>
      <c r="J1095" s="377"/>
      <c r="K1095" s="377"/>
      <c r="L1095" s="377"/>
      <c r="M1095" s="377"/>
      <c r="N1095" s="1236"/>
      <c r="O1095" s="1236"/>
      <c r="P1095" s="553" t="s">
        <v>35</v>
      </c>
      <c r="Q1095" s="885">
        <v>6</v>
      </c>
      <c r="R1095" s="885" t="s">
        <v>512</v>
      </c>
      <c r="S1095" s="786">
        <v>25.95</v>
      </c>
      <c r="T1095" s="523"/>
      <c r="U1095" s="88"/>
      <c r="V1095" s="88"/>
      <c r="W1095" s="87"/>
      <c r="X1095" s="88"/>
      <c r="Y1095" s="404"/>
      <c r="Z1095" s="88"/>
      <c r="AA1095" s="88"/>
      <c r="AB1095" s="88"/>
      <c r="AC1095" s="88"/>
      <c r="AD1095" s="88"/>
      <c r="AE1095" s="88"/>
      <c r="AF1095" s="174"/>
      <c r="AG1095" s="174"/>
      <c r="AH1095" s="174"/>
      <c r="AI1095" s="883"/>
      <c r="AJ1095" s="883"/>
      <c r="AK1095" s="503"/>
      <c r="AL1095" s="88"/>
      <c r="AM1095" s="88"/>
      <c r="AN1095" s="88"/>
      <c r="AO1095" s="88"/>
      <c r="AP1095" s="88"/>
      <c r="AQ1095" s="88"/>
      <c r="AR1095" s="88"/>
      <c r="AS1095" s="494"/>
      <c r="AT1095" s="494"/>
      <c r="AU1095" s="494"/>
      <c r="AV1095" s="494"/>
      <c r="AW1095" s="494"/>
      <c r="AX1095" s="494"/>
      <c r="AY1095" s="494"/>
      <c r="AZ1095" s="494"/>
      <c r="BA1095" s="494"/>
      <c r="BB1095" s="494"/>
      <c r="BC1095" s="494"/>
      <c r="BD1095" s="494"/>
      <c r="BE1095" s="494"/>
      <c r="BF1095" s="494"/>
      <c r="BG1095" s="494"/>
      <c r="BH1095" s="494"/>
      <c r="BI1095" s="494"/>
      <c r="BJ1095" s="494"/>
      <c r="BK1095" s="494"/>
      <c r="BL1095" s="494"/>
      <c r="BM1095" s="494"/>
      <c r="BN1095" s="494"/>
      <c r="BO1095" s="494"/>
      <c r="BP1095" s="494"/>
      <c r="BQ1095" s="494"/>
      <c r="BR1095" s="494"/>
      <c r="BS1095" s="494"/>
      <c r="BT1095" s="494"/>
      <c r="BU1095" s="494"/>
      <c r="BV1095" s="494"/>
      <c r="BW1095" s="494"/>
      <c r="BX1095" s="494"/>
      <c r="BY1095" s="494"/>
      <c r="BZ1095" s="494"/>
      <c r="CA1095" s="494"/>
      <c r="CB1095" s="494"/>
      <c r="CC1095" s="494"/>
      <c r="CD1095" s="494"/>
      <c r="CE1095" s="494"/>
      <c r="CF1095" s="494"/>
      <c r="CG1095" s="494"/>
      <c r="CH1095" s="494"/>
    </row>
    <row r="1096" spans="1:86" s="495" customFormat="1" ht="24.4" customHeight="1" x14ac:dyDescent="0.2">
      <c r="A1096" s="1544">
        <v>5</v>
      </c>
      <c r="B1096" s="1615">
        <v>2242877</v>
      </c>
      <c r="C1096" s="1574" t="s">
        <v>115</v>
      </c>
      <c r="D1096" s="1612">
        <f>F1096</f>
        <v>0.7</v>
      </c>
      <c r="E1096" s="1609">
        <f>G1096</f>
        <v>4881.8999999999996</v>
      </c>
      <c r="F1096" s="1612">
        <f>0.705-0.005</f>
        <v>0.7</v>
      </c>
      <c r="G1096" s="1609">
        <v>4881.8999999999996</v>
      </c>
      <c r="H1096" s="89"/>
      <c r="I1096" s="89"/>
      <c r="J1096" s="89"/>
      <c r="K1096" s="89"/>
      <c r="L1096" s="89"/>
      <c r="M1096" s="89"/>
      <c r="N1096" s="1605" t="s">
        <v>441</v>
      </c>
      <c r="O1096" s="1605" t="s">
        <v>523</v>
      </c>
      <c r="P1096" s="1278" t="s">
        <v>5</v>
      </c>
      <c r="Q1096" s="974">
        <v>0.7</v>
      </c>
      <c r="R1096" s="554" t="s">
        <v>2</v>
      </c>
      <c r="S1096" s="1291">
        <f>8799.69434-S1098</f>
        <v>7735.8143399999999</v>
      </c>
      <c r="T1096" s="523"/>
      <c r="U1096" s="88"/>
      <c r="V1096" s="88"/>
      <c r="W1096" s="87"/>
      <c r="X1096" s="88"/>
      <c r="Y1096" s="404"/>
      <c r="Z1096" s="88"/>
      <c r="AA1096" s="88"/>
      <c r="AB1096" s="88"/>
      <c r="AC1096" s="88"/>
      <c r="AD1096" s="88"/>
      <c r="AE1096" s="88"/>
      <c r="AF1096" s="214"/>
      <c r="AG1096" s="45"/>
      <c r="AH1096" s="45"/>
      <c r="AI1096" s="1051"/>
      <c r="AJ1096" s="1051"/>
      <c r="AK1096" s="44"/>
      <c r="AL1096" s="214"/>
      <c r="AM1096" s="214"/>
      <c r="AN1096" s="249"/>
      <c r="AO1096" s="975"/>
      <c r="AP1096" s="57"/>
      <c r="AQ1096" s="504"/>
      <c r="AR1096" s="246"/>
      <c r="AS1096" s="494"/>
      <c r="AT1096" s="494"/>
      <c r="AU1096" s="494"/>
      <c r="AV1096" s="494"/>
      <c r="AW1096" s="494"/>
      <c r="AX1096" s="494"/>
      <c r="AY1096" s="494"/>
      <c r="AZ1096" s="494"/>
      <c r="BA1096" s="494"/>
      <c r="BB1096" s="494"/>
      <c r="BC1096" s="494"/>
      <c r="BD1096" s="494"/>
      <c r="BE1096" s="494"/>
      <c r="BF1096" s="494"/>
      <c r="BG1096" s="494"/>
      <c r="BH1096" s="494"/>
      <c r="BI1096" s="494"/>
      <c r="BJ1096" s="494"/>
      <c r="BK1096" s="494"/>
      <c r="BL1096" s="494"/>
      <c r="BM1096" s="494"/>
      <c r="BN1096" s="494"/>
      <c r="BO1096" s="494"/>
      <c r="BP1096" s="494"/>
      <c r="BQ1096" s="494"/>
      <c r="BR1096" s="494"/>
      <c r="BS1096" s="494"/>
      <c r="BT1096" s="494"/>
      <c r="BU1096" s="494"/>
      <c r="BV1096" s="494"/>
      <c r="BW1096" s="494"/>
      <c r="BX1096" s="494"/>
      <c r="BY1096" s="494"/>
      <c r="BZ1096" s="494"/>
      <c r="CA1096" s="494"/>
      <c r="CB1096" s="494"/>
      <c r="CC1096" s="494"/>
      <c r="CD1096" s="494"/>
      <c r="CE1096" s="494"/>
      <c r="CF1096" s="494"/>
      <c r="CG1096" s="494"/>
      <c r="CH1096" s="494"/>
    </row>
    <row r="1097" spans="1:86" s="495" customFormat="1" ht="22.5" customHeight="1" x14ac:dyDescent="0.2">
      <c r="A1097" s="1545"/>
      <c r="B1097" s="1616"/>
      <c r="C1097" s="1575"/>
      <c r="D1097" s="1613"/>
      <c r="E1097" s="1610"/>
      <c r="F1097" s="1613"/>
      <c r="G1097" s="1610"/>
      <c r="H1097" s="88"/>
      <c r="I1097" s="88"/>
      <c r="J1097" s="88"/>
      <c r="K1097" s="88"/>
      <c r="L1097" s="88"/>
      <c r="M1097" s="88"/>
      <c r="N1097" s="1606"/>
      <c r="O1097" s="1606"/>
      <c r="P1097" s="1235"/>
      <c r="Q1097" s="1139">
        <v>4881.8999999999996</v>
      </c>
      <c r="R1097" s="878" t="s">
        <v>524</v>
      </c>
      <c r="S1097" s="1276"/>
      <c r="T1097" s="523"/>
      <c r="U1097" s="88"/>
      <c r="V1097" s="88"/>
      <c r="W1097" s="87"/>
      <c r="X1097" s="88"/>
      <c r="Y1097" s="404"/>
      <c r="Z1097" s="88"/>
      <c r="AA1097" s="88"/>
      <c r="AB1097" s="88"/>
      <c r="AC1097" s="88"/>
      <c r="AD1097" s="88"/>
      <c r="AE1097" s="88"/>
      <c r="AF1097" s="214"/>
      <c r="AG1097" s="45"/>
      <c r="AH1097" s="45"/>
      <c r="AI1097" s="1051"/>
      <c r="AJ1097" s="1051"/>
      <c r="AK1097" s="44"/>
      <c r="AL1097" s="214"/>
      <c r="AM1097" s="214"/>
      <c r="AN1097" s="249"/>
      <c r="AO1097" s="43"/>
      <c r="AP1097" s="1051"/>
      <c r="AQ1097" s="504"/>
      <c r="AR1097" s="246"/>
      <c r="AS1097" s="494"/>
      <c r="AT1097" s="494"/>
      <c r="AU1097" s="494"/>
      <c r="AV1097" s="494"/>
      <c r="AW1097" s="494"/>
      <c r="AX1097" s="494"/>
      <c r="AY1097" s="494"/>
      <c r="AZ1097" s="494"/>
      <c r="BA1097" s="494"/>
      <c r="BB1097" s="494"/>
      <c r="BC1097" s="494"/>
      <c r="BD1097" s="494"/>
      <c r="BE1097" s="494"/>
      <c r="BF1097" s="494"/>
      <c r="BG1097" s="494"/>
      <c r="BH1097" s="494"/>
      <c r="BI1097" s="494"/>
      <c r="BJ1097" s="494"/>
      <c r="BK1097" s="494"/>
      <c r="BL1097" s="494"/>
      <c r="BM1097" s="494"/>
      <c r="BN1097" s="494"/>
      <c r="BO1097" s="494"/>
      <c r="BP1097" s="494"/>
      <c r="BQ1097" s="494"/>
      <c r="BR1097" s="494"/>
      <c r="BS1097" s="494"/>
      <c r="BT1097" s="494"/>
      <c r="BU1097" s="494"/>
      <c r="BV1097" s="494"/>
      <c r="BW1097" s="494"/>
      <c r="BX1097" s="494"/>
      <c r="BY1097" s="494"/>
      <c r="BZ1097" s="494"/>
      <c r="CA1097" s="494"/>
      <c r="CB1097" s="494"/>
      <c r="CC1097" s="494"/>
      <c r="CD1097" s="494"/>
      <c r="CE1097" s="494"/>
      <c r="CF1097" s="494"/>
      <c r="CG1097" s="494"/>
      <c r="CH1097" s="494"/>
    </row>
    <row r="1098" spans="1:86" s="495" customFormat="1" ht="28.9" customHeight="1" thickBot="1" x14ac:dyDescent="0.25">
      <c r="A1098" s="1571"/>
      <c r="B1098" s="1617"/>
      <c r="C1098" s="1414"/>
      <c r="D1098" s="1614"/>
      <c r="E1098" s="1611"/>
      <c r="F1098" s="1614"/>
      <c r="G1098" s="1611"/>
      <c r="H1098" s="525"/>
      <c r="I1098" s="525"/>
      <c r="J1098" s="525"/>
      <c r="K1098" s="525"/>
      <c r="L1098" s="525"/>
      <c r="M1098" s="525"/>
      <c r="N1098" s="1407"/>
      <c r="O1098" s="1407"/>
      <c r="P1098" s="907" t="s">
        <v>11</v>
      </c>
      <c r="Q1098" s="555">
        <v>820.7</v>
      </c>
      <c r="R1098" s="556" t="s">
        <v>524</v>
      </c>
      <c r="S1098" s="912">
        <v>1063.8800000000001</v>
      </c>
      <c r="T1098" s="523"/>
      <c r="U1098" s="88"/>
      <c r="V1098" s="88"/>
      <c r="W1098" s="87"/>
      <c r="X1098" s="88"/>
      <c r="Y1098" s="404"/>
      <c r="Z1098" s="88"/>
      <c r="AA1098" s="88"/>
      <c r="AB1098" s="88"/>
      <c r="AC1098" s="88"/>
      <c r="AD1098" s="88"/>
      <c r="AE1098" s="88"/>
      <c r="AF1098" s="214"/>
      <c r="AG1098" s="45"/>
      <c r="AH1098" s="45"/>
      <c r="AI1098" s="1051"/>
      <c r="AJ1098" s="1051"/>
      <c r="AK1098" s="44"/>
      <c r="AL1098" s="214"/>
      <c r="AM1098" s="214"/>
      <c r="AN1098" s="249"/>
      <c r="AO1098" s="43"/>
      <c r="AP1098" s="1051"/>
      <c r="AQ1098" s="504"/>
      <c r="AR1098" s="246"/>
      <c r="AS1098" s="494"/>
      <c r="AT1098" s="494"/>
      <c r="AU1098" s="494"/>
      <c r="AV1098" s="494"/>
      <c r="AW1098" s="494"/>
      <c r="AX1098" s="494"/>
      <c r="AY1098" s="494"/>
      <c r="AZ1098" s="494"/>
      <c r="BA1098" s="494"/>
      <c r="BB1098" s="494"/>
      <c r="BC1098" s="494"/>
      <c r="BD1098" s="494"/>
      <c r="BE1098" s="494"/>
      <c r="BF1098" s="494"/>
      <c r="BG1098" s="494"/>
      <c r="BH1098" s="494"/>
      <c r="BI1098" s="494"/>
      <c r="BJ1098" s="494"/>
      <c r="BK1098" s="494"/>
      <c r="BL1098" s="494"/>
      <c r="BM1098" s="494"/>
      <c r="BN1098" s="494"/>
      <c r="BO1098" s="494"/>
      <c r="BP1098" s="494"/>
      <c r="BQ1098" s="494"/>
      <c r="BR1098" s="494"/>
      <c r="BS1098" s="494"/>
      <c r="BT1098" s="494"/>
      <c r="BU1098" s="494"/>
      <c r="BV1098" s="494"/>
      <c r="BW1098" s="494"/>
      <c r="BX1098" s="494"/>
      <c r="BY1098" s="494"/>
      <c r="BZ1098" s="494"/>
      <c r="CA1098" s="494"/>
      <c r="CB1098" s="494"/>
      <c r="CC1098" s="494"/>
      <c r="CD1098" s="494"/>
      <c r="CE1098" s="494"/>
      <c r="CF1098" s="494"/>
      <c r="CG1098" s="494"/>
      <c r="CH1098" s="494"/>
    </row>
    <row r="1099" spans="1:86" s="495" customFormat="1" ht="21.75" customHeight="1" x14ac:dyDescent="0.2">
      <c r="A1099" s="1544">
        <v>6</v>
      </c>
      <c r="B1099" s="1615">
        <v>2241423</v>
      </c>
      <c r="C1099" s="1574" t="s">
        <v>106</v>
      </c>
      <c r="D1099" s="1612">
        <f>F1099</f>
        <v>0.86599999999999999</v>
      </c>
      <c r="E1099" s="1609">
        <f>G1099</f>
        <v>6836</v>
      </c>
      <c r="F1099" s="1612">
        <f>0.9-0.034</f>
        <v>0.86599999999999999</v>
      </c>
      <c r="G1099" s="1609">
        <v>6836</v>
      </c>
      <c r="H1099" s="376"/>
      <c r="I1099" s="376"/>
      <c r="J1099" s="376"/>
      <c r="K1099" s="376"/>
      <c r="L1099" s="376"/>
      <c r="M1099" s="376"/>
      <c r="N1099" s="1278" t="s">
        <v>441</v>
      </c>
      <c r="O1099" s="1303" t="s">
        <v>1405</v>
      </c>
      <c r="P1099" s="1303" t="s">
        <v>5</v>
      </c>
      <c r="Q1099" s="974">
        <v>0.86599999999999999</v>
      </c>
      <c r="R1099" s="877" t="s">
        <v>2</v>
      </c>
      <c r="S1099" s="1291">
        <f>9905.94806+255.19328-S1101</f>
        <v>9905.9480600000006</v>
      </c>
      <c r="T1099" s="523"/>
      <c r="U1099" s="88"/>
      <c r="V1099" s="88"/>
      <c r="W1099" s="87"/>
      <c r="X1099" s="88"/>
      <c r="Y1099" s="404"/>
      <c r="Z1099" s="88"/>
      <c r="AA1099" s="88"/>
      <c r="AB1099" s="88"/>
      <c r="AC1099" s="88"/>
      <c r="AD1099" s="88"/>
      <c r="AE1099" s="88"/>
      <c r="AF1099" s="249"/>
      <c r="AG1099" s="45"/>
      <c r="AH1099" s="45"/>
      <c r="AI1099" s="800"/>
      <c r="AJ1099" s="1051"/>
      <c r="AK1099" s="503"/>
      <c r="AL1099" s="246"/>
      <c r="AM1099" s="88"/>
      <c r="AN1099" s="88"/>
      <c r="AO1099" s="88"/>
      <c r="AP1099" s="88"/>
      <c r="AQ1099" s="88"/>
      <c r="AR1099" s="88"/>
      <c r="AS1099" s="494"/>
      <c r="AT1099" s="494"/>
      <c r="AU1099" s="494"/>
      <c r="AV1099" s="494"/>
      <c r="AW1099" s="494"/>
      <c r="AX1099" s="494"/>
      <c r="AY1099" s="494"/>
      <c r="AZ1099" s="494"/>
      <c r="BA1099" s="494"/>
      <c r="BB1099" s="494"/>
      <c r="BC1099" s="494"/>
      <c r="BD1099" s="494"/>
      <c r="BE1099" s="494"/>
      <c r="BF1099" s="494"/>
      <c r="BG1099" s="494"/>
      <c r="BH1099" s="494"/>
      <c r="BI1099" s="494"/>
      <c r="BJ1099" s="494"/>
      <c r="BK1099" s="494"/>
      <c r="BL1099" s="494"/>
      <c r="BM1099" s="494"/>
      <c r="BN1099" s="494"/>
      <c r="BO1099" s="494"/>
      <c r="BP1099" s="494"/>
      <c r="BQ1099" s="494"/>
      <c r="BR1099" s="494"/>
      <c r="BS1099" s="494"/>
      <c r="BT1099" s="494"/>
      <c r="BU1099" s="494"/>
      <c r="BV1099" s="494"/>
      <c r="BW1099" s="494"/>
      <c r="BX1099" s="494"/>
      <c r="BY1099" s="494"/>
      <c r="BZ1099" s="494"/>
      <c r="CA1099" s="494"/>
      <c r="CB1099" s="494"/>
      <c r="CC1099" s="494"/>
      <c r="CD1099" s="494"/>
      <c r="CE1099" s="494"/>
      <c r="CF1099" s="494"/>
      <c r="CG1099" s="494"/>
      <c r="CH1099" s="494"/>
    </row>
    <row r="1100" spans="1:86" s="495" customFormat="1" ht="21.75" customHeight="1" x14ac:dyDescent="0.2">
      <c r="A1100" s="1545"/>
      <c r="B1100" s="1616"/>
      <c r="C1100" s="1575"/>
      <c r="D1100" s="1613"/>
      <c r="E1100" s="1610"/>
      <c r="F1100" s="1613"/>
      <c r="G1100" s="1610"/>
      <c r="H1100" s="88"/>
      <c r="I1100" s="88"/>
      <c r="J1100" s="88"/>
      <c r="K1100" s="88"/>
      <c r="L1100" s="88"/>
      <c r="M1100" s="88"/>
      <c r="N1100" s="1608"/>
      <c r="O1100" s="1564"/>
      <c r="P1100" s="1213"/>
      <c r="Q1100" s="1139">
        <f>6836</f>
        <v>6836</v>
      </c>
      <c r="R1100" s="878" t="s">
        <v>524</v>
      </c>
      <c r="S1100" s="1276"/>
      <c r="T1100" s="523"/>
      <c r="U1100" s="88"/>
      <c r="V1100" s="88"/>
      <c r="W1100" s="87"/>
      <c r="X1100" s="88"/>
      <c r="Y1100" s="404"/>
      <c r="Z1100" s="88"/>
      <c r="AA1100" s="88"/>
      <c r="AB1100" s="88"/>
      <c r="AC1100" s="88"/>
      <c r="AD1100" s="88"/>
      <c r="AE1100" s="88"/>
      <c r="AF1100" s="249"/>
      <c r="AG1100" s="45"/>
      <c r="AH1100" s="45"/>
      <c r="AI1100" s="43"/>
      <c r="AJ1100" s="1051"/>
      <c r="AK1100" s="503"/>
      <c r="AL1100" s="88"/>
      <c r="AM1100" s="88"/>
      <c r="AN1100" s="88"/>
      <c r="AO1100" s="88"/>
      <c r="AP1100" s="88"/>
      <c r="AQ1100" s="88"/>
      <c r="AR1100" s="88"/>
      <c r="AS1100" s="494"/>
      <c r="AT1100" s="494"/>
      <c r="AU1100" s="494"/>
      <c r="AV1100" s="494"/>
      <c r="AW1100" s="494"/>
      <c r="AX1100" s="494"/>
      <c r="AY1100" s="494"/>
      <c r="AZ1100" s="494"/>
      <c r="BA1100" s="494"/>
      <c r="BB1100" s="494"/>
      <c r="BC1100" s="494"/>
      <c r="BD1100" s="494"/>
      <c r="BE1100" s="494"/>
      <c r="BF1100" s="494"/>
      <c r="BG1100" s="494"/>
      <c r="BH1100" s="494"/>
      <c r="BI1100" s="494"/>
      <c r="BJ1100" s="494"/>
      <c r="BK1100" s="494"/>
      <c r="BL1100" s="494"/>
      <c r="BM1100" s="494"/>
      <c r="BN1100" s="494"/>
      <c r="BO1100" s="494"/>
      <c r="BP1100" s="494"/>
      <c r="BQ1100" s="494"/>
      <c r="BR1100" s="494"/>
      <c r="BS1100" s="494"/>
      <c r="BT1100" s="494"/>
      <c r="BU1100" s="494"/>
      <c r="BV1100" s="494"/>
      <c r="BW1100" s="494"/>
      <c r="BX1100" s="494"/>
      <c r="BY1100" s="494"/>
      <c r="BZ1100" s="494"/>
      <c r="CA1100" s="494"/>
      <c r="CB1100" s="494"/>
      <c r="CC1100" s="494"/>
      <c r="CD1100" s="494"/>
      <c r="CE1100" s="494"/>
      <c r="CF1100" s="494"/>
      <c r="CG1100" s="494"/>
      <c r="CH1100" s="494"/>
    </row>
    <row r="1101" spans="1:86" s="495" customFormat="1" ht="26.65" customHeight="1" thickBot="1" x14ac:dyDescent="0.25">
      <c r="A1101" s="1571"/>
      <c r="B1101" s="1617"/>
      <c r="C1101" s="1414"/>
      <c r="D1101" s="1614"/>
      <c r="E1101" s="1611"/>
      <c r="F1101" s="1614"/>
      <c r="G1101" s="1611"/>
      <c r="H1101" s="525"/>
      <c r="I1101" s="525"/>
      <c r="J1101" s="525"/>
      <c r="K1101" s="525"/>
      <c r="L1101" s="525"/>
      <c r="M1101" s="525"/>
      <c r="N1101" s="1218"/>
      <c r="O1101" s="1236"/>
      <c r="P1101" s="907" t="s">
        <v>11</v>
      </c>
      <c r="Q1101" s="555">
        <v>354</v>
      </c>
      <c r="R1101" s="556" t="s">
        <v>524</v>
      </c>
      <c r="S1101" s="912">
        <v>255.19327999999999</v>
      </c>
      <c r="T1101" s="523"/>
      <c r="U1101" s="88"/>
      <c r="V1101" s="88"/>
      <c r="W1101" s="87"/>
      <c r="X1101" s="88"/>
      <c r="Y1101" s="404"/>
      <c r="Z1101" s="88"/>
      <c r="AA1101" s="88"/>
      <c r="AB1101" s="88"/>
      <c r="AC1101" s="88"/>
      <c r="AD1101" s="88"/>
      <c r="AE1101" s="88"/>
      <c r="AF1101" s="249"/>
      <c r="AG1101" s="45"/>
      <c r="AH1101" s="45"/>
      <c r="AI1101" s="43"/>
      <c r="AJ1101" s="1051"/>
      <c r="AK1101" s="503"/>
      <c r="AL1101" s="88"/>
      <c r="AM1101" s="88"/>
      <c r="AN1101" s="88"/>
      <c r="AO1101" s="88"/>
      <c r="AP1101" s="88"/>
      <c r="AQ1101" s="88"/>
      <c r="AR1101" s="88"/>
      <c r="AS1101" s="494">
        <v>354</v>
      </c>
      <c r="AT1101" s="494"/>
      <c r="AU1101" s="494"/>
      <c r="AV1101" s="494"/>
      <c r="AW1101" s="494"/>
      <c r="AX1101" s="494"/>
      <c r="AY1101" s="494"/>
      <c r="AZ1101" s="494"/>
      <c r="BA1101" s="494"/>
      <c r="BB1101" s="494"/>
      <c r="BC1101" s="494"/>
      <c r="BD1101" s="494"/>
      <c r="BE1101" s="494"/>
      <c r="BF1101" s="494"/>
      <c r="BG1101" s="494"/>
      <c r="BH1101" s="494"/>
      <c r="BI1101" s="494"/>
      <c r="BJ1101" s="494"/>
      <c r="BK1101" s="494"/>
      <c r="BL1101" s="494"/>
      <c r="BM1101" s="494"/>
      <c r="BN1101" s="494"/>
      <c r="BO1101" s="494"/>
      <c r="BP1101" s="494"/>
      <c r="BQ1101" s="494"/>
      <c r="BR1101" s="494"/>
      <c r="BS1101" s="494"/>
      <c r="BT1101" s="494"/>
      <c r="BU1101" s="494"/>
      <c r="BV1101" s="494"/>
      <c r="BW1101" s="494"/>
      <c r="BX1101" s="494"/>
      <c r="BY1101" s="494"/>
      <c r="BZ1101" s="494"/>
      <c r="CA1101" s="494"/>
      <c r="CB1101" s="494"/>
      <c r="CC1101" s="494"/>
      <c r="CD1101" s="494"/>
      <c r="CE1101" s="494"/>
      <c r="CF1101" s="494"/>
      <c r="CG1101" s="494"/>
      <c r="CH1101" s="494"/>
    </row>
    <row r="1102" spans="1:86" s="495" customFormat="1" ht="21.75" customHeight="1" x14ac:dyDescent="0.2">
      <c r="A1102" s="1544">
        <v>7</v>
      </c>
      <c r="B1102" s="1572">
        <v>2242968</v>
      </c>
      <c r="C1102" s="1574" t="s">
        <v>123</v>
      </c>
      <c r="D1102" s="1612">
        <v>0.76</v>
      </c>
      <c r="E1102" s="1609">
        <f>G1102</f>
        <v>4844</v>
      </c>
      <c r="F1102" s="1612">
        <f>0.778-0.018</f>
        <v>0.76</v>
      </c>
      <c r="G1102" s="1609">
        <v>4844</v>
      </c>
      <c r="H1102" s="376"/>
      <c r="I1102" s="376"/>
      <c r="J1102" s="376"/>
      <c r="K1102" s="376"/>
      <c r="L1102" s="376"/>
      <c r="M1102" s="376"/>
      <c r="N1102" s="1303" t="s">
        <v>441</v>
      </c>
      <c r="O1102" s="1303" t="s">
        <v>606</v>
      </c>
      <c r="P1102" s="1303" t="s">
        <v>5</v>
      </c>
      <c r="Q1102" s="641">
        <v>0.76</v>
      </c>
      <c r="R1102" s="877" t="s">
        <v>2</v>
      </c>
      <c r="S1102" s="1291">
        <v>6257.6297400000003</v>
      </c>
      <c r="T1102" s="523"/>
      <c r="U1102" s="88"/>
      <c r="V1102" s="88"/>
      <c r="W1102" s="87"/>
      <c r="X1102" s="88"/>
      <c r="Y1102" s="404"/>
      <c r="Z1102" s="88"/>
      <c r="AA1102" s="88"/>
      <c r="AB1102" s="88"/>
      <c r="AC1102" s="88"/>
      <c r="AD1102" s="88"/>
      <c r="AE1102" s="88"/>
      <c r="AF1102" s="174"/>
      <c r="AG1102" s="45"/>
      <c r="AH1102" s="45"/>
      <c r="AI1102" s="800"/>
      <c r="AJ1102" s="1051"/>
      <c r="AK1102" s="260"/>
      <c r="AL1102" s="174"/>
      <c r="AM1102" s="45"/>
      <c r="AN1102" s="45"/>
      <c r="AO1102" s="800"/>
      <c r="AP1102" s="1051"/>
      <c r="AQ1102" s="503"/>
      <c r="AR1102" s="246"/>
      <c r="AS1102" s="494"/>
      <c r="AT1102" s="494"/>
      <c r="AU1102" s="494"/>
      <c r="AV1102" s="494"/>
      <c r="AW1102" s="494"/>
      <c r="AX1102" s="494"/>
      <c r="AY1102" s="494"/>
      <c r="AZ1102" s="494"/>
      <c r="BA1102" s="494"/>
      <c r="BB1102" s="494"/>
      <c r="BC1102" s="494"/>
      <c r="BD1102" s="494"/>
      <c r="BE1102" s="494"/>
      <c r="BF1102" s="494"/>
      <c r="BG1102" s="494"/>
      <c r="BH1102" s="494"/>
      <c r="BI1102" s="494"/>
      <c r="BJ1102" s="494"/>
      <c r="BK1102" s="494"/>
      <c r="BL1102" s="494"/>
      <c r="BM1102" s="494"/>
      <c r="BN1102" s="494"/>
      <c r="BO1102" s="494"/>
      <c r="BP1102" s="494"/>
      <c r="BQ1102" s="494"/>
      <c r="BR1102" s="494"/>
      <c r="BS1102" s="494"/>
      <c r="BT1102" s="494"/>
      <c r="BU1102" s="494"/>
      <c r="BV1102" s="494"/>
      <c r="BW1102" s="494"/>
      <c r="BX1102" s="494"/>
      <c r="BY1102" s="494"/>
      <c r="BZ1102" s="494"/>
      <c r="CA1102" s="494"/>
      <c r="CB1102" s="494"/>
      <c r="CC1102" s="494"/>
      <c r="CD1102" s="494"/>
      <c r="CE1102" s="494"/>
      <c r="CF1102" s="494"/>
      <c r="CG1102" s="494"/>
      <c r="CH1102" s="494"/>
    </row>
    <row r="1103" spans="1:86" s="495" customFormat="1" ht="21.75" customHeight="1" thickBot="1" x14ac:dyDescent="0.25">
      <c r="A1103" s="1545"/>
      <c r="B1103" s="1573"/>
      <c r="C1103" s="1575"/>
      <c r="D1103" s="1613"/>
      <c r="E1103" s="1610"/>
      <c r="F1103" s="1613"/>
      <c r="G1103" s="1610"/>
      <c r="H1103" s="356"/>
      <c r="I1103" s="356"/>
      <c r="J1103" s="356"/>
      <c r="K1103" s="356"/>
      <c r="L1103" s="356"/>
      <c r="M1103" s="356"/>
      <c r="N1103" s="1564"/>
      <c r="O1103" s="1564"/>
      <c r="P1103" s="1564"/>
      <c r="Q1103" s="986">
        <v>4844</v>
      </c>
      <c r="R1103" s="965" t="s">
        <v>524</v>
      </c>
      <c r="S1103" s="1272"/>
      <c r="T1103" s="523"/>
      <c r="U1103" s="88"/>
      <c r="V1103" s="88"/>
      <c r="W1103" s="87"/>
      <c r="X1103" s="88"/>
      <c r="Y1103" s="404"/>
      <c r="Z1103" s="88"/>
      <c r="AA1103" s="88"/>
      <c r="AB1103" s="88"/>
      <c r="AC1103" s="88"/>
      <c r="AD1103" s="88"/>
      <c r="AE1103" s="88"/>
      <c r="AF1103" s="174"/>
      <c r="AG1103" s="45"/>
      <c r="AH1103" s="45"/>
      <c r="AI1103" s="1051"/>
      <c r="AJ1103" s="1051"/>
      <c r="AK1103" s="260"/>
      <c r="AL1103" s="174"/>
      <c r="AM1103" s="45"/>
      <c r="AN1103" s="45"/>
      <c r="AO1103" s="1051"/>
      <c r="AP1103" s="1051"/>
      <c r="AQ1103" s="503"/>
      <c r="AR1103" s="246"/>
      <c r="AS1103" s="494"/>
      <c r="AT1103" s="494"/>
      <c r="AU1103" s="494"/>
      <c r="AV1103" s="494"/>
      <c r="AW1103" s="494"/>
      <c r="AX1103" s="494"/>
      <c r="AY1103" s="494"/>
      <c r="AZ1103" s="494"/>
      <c r="BA1103" s="494"/>
      <c r="BB1103" s="494"/>
      <c r="BC1103" s="494"/>
      <c r="BD1103" s="494"/>
      <c r="BE1103" s="494"/>
      <c r="BF1103" s="494"/>
      <c r="BG1103" s="494"/>
      <c r="BH1103" s="494"/>
      <c r="BI1103" s="494"/>
      <c r="BJ1103" s="494"/>
      <c r="BK1103" s="494"/>
      <c r="BL1103" s="494"/>
      <c r="BM1103" s="494"/>
      <c r="BN1103" s="494"/>
      <c r="BO1103" s="494"/>
      <c r="BP1103" s="494"/>
      <c r="BQ1103" s="494"/>
      <c r="BR1103" s="494"/>
      <c r="BS1103" s="494"/>
      <c r="BT1103" s="494"/>
      <c r="BU1103" s="494"/>
      <c r="BV1103" s="494"/>
      <c r="BW1103" s="494"/>
      <c r="BX1103" s="494"/>
      <c r="BY1103" s="494"/>
      <c r="BZ1103" s="494"/>
      <c r="CA1103" s="494"/>
      <c r="CB1103" s="494"/>
      <c r="CC1103" s="494"/>
      <c r="CD1103" s="494"/>
      <c r="CE1103" s="494"/>
      <c r="CF1103" s="494"/>
      <c r="CG1103" s="494"/>
      <c r="CH1103" s="494"/>
    </row>
    <row r="1104" spans="1:86" s="495" customFormat="1" ht="28.35" customHeight="1" x14ac:dyDescent="0.2">
      <c r="A1104" s="1544">
        <v>8</v>
      </c>
      <c r="B1104" s="1615">
        <v>2243009</v>
      </c>
      <c r="C1104" s="1780" t="s">
        <v>107</v>
      </c>
      <c r="D1104" s="1612">
        <v>0.9</v>
      </c>
      <c r="E1104" s="1609">
        <f>G1104</f>
        <v>6211.5</v>
      </c>
      <c r="F1104" s="1612">
        <v>0.9</v>
      </c>
      <c r="G1104" s="1609">
        <v>6211.5</v>
      </c>
      <c r="H1104" s="376"/>
      <c r="I1104" s="376"/>
      <c r="J1104" s="376"/>
      <c r="K1104" s="376"/>
      <c r="L1104" s="376"/>
      <c r="M1104" s="376"/>
      <c r="N1104" s="1605" t="s">
        <v>441</v>
      </c>
      <c r="O1104" s="1605" t="s">
        <v>528</v>
      </c>
      <c r="P1104" s="1278" t="s">
        <v>5</v>
      </c>
      <c r="Q1104" s="974">
        <v>0.9</v>
      </c>
      <c r="R1104" s="554" t="s">
        <v>2</v>
      </c>
      <c r="S1104" s="1291">
        <f>8685.40896-S1106</f>
        <v>7503.8489600000012</v>
      </c>
      <c r="T1104" s="523"/>
      <c r="U1104" s="88"/>
      <c r="V1104" s="88"/>
      <c r="W1104" s="87"/>
      <c r="X1104" s="88"/>
      <c r="Y1104" s="404"/>
      <c r="Z1104" s="88"/>
      <c r="AA1104" s="88"/>
      <c r="AB1104" s="88"/>
      <c r="AC1104" s="88"/>
      <c r="AD1104" s="88"/>
      <c r="AE1104" s="88"/>
      <c r="AF1104" s="1044"/>
      <c r="AG1104" s="1044"/>
      <c r="AH1104" s="1040"/>
      <c r="AI1104" s="928"/>
      <c r="AJ1104" s="57"/>
      <c r="AK1104" s="503"/>
      <c r="AL1104" s="246"/>
      <c r="AM1104" s="88"/>
      <c r="AN1104" s="88"/>
      <c r="AO1104" s="88"/>
      <c r="AP1104" s="88"/>
      <c r="AQ1104" s="88"/>
      <c r="AR1104" s="88"/>
      <c r="AS1104" s="494"/>
      <c r="AT1104" s="494"/>
      <c r="AU1104" s="494"/>
      <c r="AV1104" s="494"/>
      <c r="AW1104" s="494"/>
      <c r="AX1104" s="494"/>
      <c r="AY1104" s="494"/>
      <c r="AZ1104" s="494"/>
      <c r="BA1104" s="494"/>
      <c r="BB1104" s="494"/>
      <c r="BC1104" s="494"/>
      <c r="BD1104" s="494"/>
      <c r="BE1104" s="494"/>
      <c r="BF1104" s="494"/>
      <c r="BG1104" s="494"/>
      <c r="BH1104" s="494"/>
      <c r="BI1104" s="494"/>
      <c r="BJ1104" s="494"/>
      <c r="BK1104" s="494"/>
      <c r="BL1104" s="494"/>
      <c r="BM1104" s="494"/>
      <c r="BN1104" s="494"/>
      <c r="BO1104" s="494"/>
      <c r="BP1104" s="494"/>
      <c r="BQ1104" s="494"/>
      <c r="BR1104" s="494"/>
      <c r="BS1104" s="494"/>
      <c r="BT1104" s="494"/>
      <c r="BU1104" s="494"/>
      <c r="BV1104" s="494"/>
      <c r="BW1104" s="494"/>
      <c r="BX1104" s="494"/>
      <c r="BY1104" s="494"/>
      <c r="BZ1104" s="494"/>
      <c r="CA1104" s="494"/>
      <c r="CB1104" s="494"/>
      <c r="CC1104" s="494"/>
      <c r="CD1104" s="494"/>
      <c r="CE1104" s="494"/>
      <c r="CF1104" s="494"/>
      <c r="CG1104" s="494"/>
      <c r="CH1104" s="494"/>
    </row>
    <row r="1105" spans="1:86" s="495" customFormat="1" ht="23.85" customHeight="1" x14ac:dyDescent="0.2">
      <c r="A1105" s="1545"/>
      <c r="B1105" s="1616"/>
      <c r="C1105" s="2036"/>
      <c r="D1105" s="1613"/>
      <c r="E1105" s="1610"/>
      <c r="F1105" s="1613"/>
      <c r="G1105" s="1610"/>
      <c r="H1105" s="88"/>
      <c r="I1105" s="88"/>
      <c r="J1105" s="88"/>
      <c r="K1105" s="88"/>
      <c r="L1105" s="88"/>
      <c r="M1105" s="88"/>
      <c r="N1105" s="1606"/>
      <c r="O1105" s="1606"/>
      <c r="P1105" s="1235"/>
      <c r="Q1105" s="1158">
        <v>6211.5</v>
      </c>
      <c r="R1105" s="57" t="s">
        <v>524</v>
      </c>
      <c r="S1105" s="1276"/>
      <c r="T1105" s="523"/>
      <c r="U1105" s="88"/>
      <c r="V1105" s="88"/>
      <c r="W1105" s="87"/>
      <c r="X1105" s="88"/>
      <c r="Y1105" s="404"/>
      <c r="Z1105" s="88"/>
      <c r="AA1105" s="88"/>
      <c r="AB1105" s="88"/>
      <c r="AC1105" s="88"/>
      <c r="AD1105" s="88"/>
      <c r="AE1105" s="88"/>
      <c r="AF1105" s="1044"/>
      <c r="AG1105" s="1044"/>
      <c r="AH1105" s="1044"/>
      <c r="AI1105" s="57"/>
      <c r="AJ1105" s="57"/>
      <c r="AK1105" s="503"/>
      <c r="AL1105" s="88"/>
      <c r="AM1105" s="88"/>
      <c r="AN1105" s="88"/>
      <c r="AO1105" s="88"/>
      <c r="AP1105" s="88"/>
      <c r="AQ1105" s="88"/>
      <c r="AR1105" s="88"/>
      <c r="AS1105" s="494"/>
      <c r="AT1105" s="494"/>
      <c r="AU1105" s="494"/>
      <c r="AV1105" s="494"/>
      <c r="AW1105" s="494"/>
      <c r="AX1105" s="494"/>
      <c r="AY1105" s="494"/>
      <c r="AZ1105" s="494"/>
      <c r="BA1105" s="494"/>
      <c r="BB1105" s="494"/>
      <c r="BC1105" s="494"/>
      <c r="BD1105" s="494"/>
      <c r="BE1105" s="494"/>
      <c r="BF1105" s="494"/>
      <c r="BG1105" s="494"/>
      <c r="BH1105" s="494"/>
      <c r="BI1105" s="494"/>
      <c r="BJ1105" s="494"/>
      <c r="BK1105" s="494"/>
      <c r="BL1105" s="494"/>
      <c r="BM1105" s="494"/>
      <c r="BN1105" s="494"/>
      <c r="BO1105" s="494"/>
      <c r="BP1105" s="494"/>
      <c r="BQ1105" s="494"/>
      <c r="BR1105" s="494"/>
      <c r="BS1105" s="494"/>
      <c r="BT1105" s="494"/>
      <c r="BU1105" s="494"/>
      <c r="BV1105" s="494"/>
      <c r="BW1105" s="494"/>
      <c r="BX1105" s="494"/>
      <c r="BY1105" s="494"/>
      <c r="BZ1105" s="494"/>
      <c r="CA1105" s="494"/>
      <c r="CB1105" s="494"/>
      <c r="CC1105" s="494"/>
      <c r="CD1105" s="494"/>
      <c r="CE1105" s="494"/>
      <c r="CF1105" s="494"/>
      <c r="CG1105" s="494"/>
      <c r="CH1105" s="494"/>
    </row>
    <row r="1106" spans="1:86" s="495" customFormat="1" ht="23.85" customHeight="1" thickBot="1" x14ac:dyDescent="0.25">
      <c r="A1106" s="1545"/>
      <c r="B1106" s="2345"/>
      <c r="C1106" s="2037"/>
      <c r="D1106" s="2417"/>
      <c r="E1106" s="1810"/>
      <c r="F1106" s="2417"/>
      <c r="G1106" s="1810"/>
      <c r="H1106" s="356"/>
      <c r="I1106" s="356"/>
      <c r="J1106" s="356"/>
      <c r="K1106" s="356"/>
      <c r="L1106" s="356"/>
      <c r="M1106" s="356"/>
      <c r="N1106" s="1607"/>
      <c r="O1106" s="1607"/>
      <c r="P1106" s="1143" t="s">
        <v>11</v>
      </c>
      <c r="Q1106" s="642">
        <v>773</v>
      </c>
      <c r="R1106" s="1157" t="s">
        <v>524</v>
      </c>
      <c r="S1106" s="895">
        <v>1181.56</v>
      </c>
      <c r="T1106" s="374"/>
      <c r="U1106" s="89"/>
      <c r="V1106" s="89"/>
      <c r="W1106" s="375"/>
      <c r="X1106" s="89"/>
      <c r="Y1106" s="240"/>
      <c r="Z1106" s="88"/>
      <c r="AA1106" s="88"/>
      <c r="AB1106" s="88"/>
      <c r="AC1106" s="88"/>
      <c r="AD1106" s="88"/>
      <c r="AE1106" s="88"/>
      <c r="AF1106" s="533"/>
      <c r="AG1106" s="917"/>
      <c r="AH1106" s="917"/>
      <c r="AI1106" s="1164"/>
      <c r="AJ1106" s="1164"/>
      <c r="AK1106" s="534"/>
      <c r="AL1106" s="89"/>
      <c r="AM1106" s="89"/>
      <c r="AN1106" s="89"/>
      <c r="AO1106" s="89"/>
      <c r="AP1106" s="89"/>
      <c r="AQ1106" s="89"/>
      <c r="AR1106" s="89"/>
      <c r="AS1106" s="494"/>
      <c r="AT1106" s="494"/>
      <c r="AU1106" s="494"/>
      <c r="AV1106" s="494"/>
      <c r="AW1106" s="494"/>
      <c r="AX1106" s="494"/>
      <c r="AY1106" s="494"/>
      <c r="AZ1106" s="494"/>
      <c r="BA1106" s="494"/>
      <c r="BB1106" s="494"/>
      <c r="BC1106" s="494"/>
      <c r="BD1106" s="494"/>
      <c r="BE1106" s="494"/>
      <c r="BF1106" s="494"/>
      <c r="BG1106" s="494"/>
      <c r="BH1106" s="494"/>
      <c r="BI1106" s="494"/>
      <c r="BJ1106" s="494"/>
      <c r="BK1106" s="494"/>
      <c r="BL1106" s="494"/>
      <c r="BM1106" s="494"/>
      <c r="BN1106" s="494"/>
      <c r="BO1106" s="494"/>
      <c r="BP1106" s="494"/>
      <c r="BQ1106" s="494"/>
      <c r="BR1106" s="494"/>
      <c r="BS1106" s="494"/>
      <c r="BT1106" s="494"/>
      <c r="BU1106" s="494"/>
      <c r="BV1106" s="494"/>
      <c r="BW1106" s="494"/>
      <c r="BX1106" s="494"/>
      <c r="BY1106" s="494"/>
      <c r="BZ1106" s="494"/>
      <c r="CA1106" s="494"/>
      <c r="CB1106" s="494"/>
      <c r="CC1106" s="494"/>
      <c r="CD1106" s="494"/>
      <c r="CE1106" s="494"/>
      <c r="CF1106" s="494"/>
      <c r="CG1106" s="494"/>
      <c r="CH1106" s="494"/>
    </row>
    <row r="1107" spans="1:86" s="495" customFormat="1" ht="23.85" customHeight="1" x14ac:dyDescent="0.2">
      <c r="A1107" s="1546">
        <v>9</v>
      </c>
      <c r="B1107" s="2013">
        <v>2242560</v>
      </c>
      <c r="C1107" s="1345" t="s">
        <v>113</v>
      </c>
      <c r="D1107" s="1257">
        <v>3.09</v>
      </c>
      <c r="E1107" s="1565">
        <v>12960</v>
      </c>
      <c r="F1107" s="1257">
        <v>3.09</v>
      </c>
      <c r="G1107" s="1565">
        <v>12960</v>
      </c>
      <c r="H1107" s="376"/>
      <c r="I1107" s="376"/>
      <c r="J1107" s="376"/>
      <c r="K1107" s="376"/>
      <c r="L1107" s="376"/>
      <c r="M1107" s="376"/>
      <c r="N1107" s="1289" t="s">
        <v>441</v>
      </c>
      <c r="O1107" s="1289" t="s">
        <v>1403</v>
      </c>
      <c r="P1107" s="1227" t="s">
        <v>5</v>
      </c>
      <c r="Q1107" s="974">
        <v>0.192</v>
      </c>
      <c r="R1107" s="554" t="s">
        <v>2</v>
      </c>
      <c r="S1107" s="1222">
        <f>1915.72954-S1109</f>
        <v>1302.1215400000001</v>
      </c>
      <c r="T1107" s="374"/>
      <c r="U1107" s="89"/>
      <c r="V1107" s="89"/>
      <c r="W1107" s="375"/>
      <c r="X1107" s="89"/>
      <c r="Y1107" s="240"/>
      <c r="Z1107" s="88"/>
      <c r="AA1107" s="88"/>
      <c r="AB1107" s="88"/>
      <c r="AC1107" s="88"/>
      <c r="AD1107" s="88"/>
      <c r="AE1107" s="88"/>
      <c r="AF1107" s="533"/>
      <c r="AG1107" s="917"/>
      <c r="AH1107" s="917"/>
      <c r="AI1107" s="1164"/>
      <c r="AJ1107" s="1164"/>
      <c r="AK1107" s="534"/>
      <c r="AL1107" s="89"/>
      <c r="AM1107" s="89"/>
      <c r="AN1107" s="89"/>
      <c r="AO1107" s="89"/>
      <c r="AP1107" s="89"/>
      <c r="AQ1107" s="89"/>
      <c r="AR1107" s="89"/>
      <c r="AS1107" s="494"/>
      <c r="AT1107" s="494"/>
      <c r="AU1107" s="494"/>
      <c r="AV1107" s="494"/>
      <c r="AW1107" s="494"/>
      <c r="AX1107" s="494"/>
      <c r="AY1107" s="494"/>
      <c r="AZ1107" s="494"/>
      <c r="BA1107" s="494"/>
      <c r="BB1107" s="494"/>
      <c r="BC1107" s="494"/>
      <c r="BD1107" s="494"/>
      <c r="BE1107" s="494"/>
      <c r="BF1107" s="494"/>
      <c r="BG1107" s="494"/>
      <c r="BH1107" s="494"/>
      <c r="BI1107" s="494"/>
      <c r="BJ1107" s="494"/>
      <c r="BK1107" s="494"/>
      <c r="BL1107" s="494"/>
      <c r="BM1107" s="494"/>
      <c r="BN1107" s="494"/>
      <c r="BO1107" s="494"/>
      <c r="BP1107" s="494"/>
      <c r="BQ1107" s="494"/>
      <c r="BR1107" s="494"/>
      <c r="BS1107" s="494"/>
      <c r="BT1107" s="494"/>
      <c r="BU1107" s="494"/>
      <c r="BV1107" s="494"/>
      <c r="BW1107" s="494"/>
      <c r="BX1107" s="494"/>
      <c r="BY1107" s="494"/>
      <c r="BZ1107" s="494"/>
      <c r="CA1107" s="494"/>
      <c r="CB1107" s="494"/>
      <c r="CC1107" s="494"/>
      <c r="CD1107" s="494"/>
      <c r="CE1107" s="494"/>
      <c r="CF1107" s="494"/>
      <c r="CG1107" s="494"/>
      <c r="CH1107" s="494"/>
    </row>
    <row r="1108" spans="1:86" s="495" customFormat="1" ht="23.85" customHeight="1" x14ac:dyDescent="0.2">
      <c r="A1108" s="1547"/>
      <c r="B1108" s="1439"/>
      <c r="C1108" s="1245"/>
      <c r="D1108" s="1258"/>
      <c r="E1108" s="1566"/>
      <c r="F1108" s="1258"/>
      <c r="G1108" s="1566"/>
      <c r="H1108" s="88"/>
      <c r="I1108" s="88"/>
      <c r="J1108" s="88"/>
      <c r="K1108" s="88"/>
      <c r="L1108" s="88"/>
      <c r="M1108" s="88"/>
      <c r="N1108" s="1290"/>
      <c r="O1108" s="1290"/>
      <c r="P1108" s="1215"/>
      <c r="Q1108" s="1158">
        <v>1248</v>
      </c>
      <c r="R1108" s="57" t="s">
        <v>524</v>
      </c>
      <c r="S1108" s="1223"/>
      <c r="T1108" s="374"/>
      <c r="U1108" s="89"/>
      <c r="V1108" s="89"/>
      <c r="W1108" s="375"/>
      <c r="X1108" s="89"/>
      <c r="Y1108" s="240"/>
      <c r="Z1108" s="88"/>
      <c r="AA1108" s="88"/>
      <c r="AB1108" s="88"/>
      <c r="AC1108" s="88"/>
      <c r="AD1108" s="88"/>
      <c r="AE1108" s="88"/>
      <c r="AF1108" s="533"/>
      <c r="AG1108" s="917"/>
      <c r="AH1108" s="917"/>
      <c r="AI1108" s="1164"/>
      <c r="AJ1108" s="1164"/>
      <c r="AK1108" s="534"/>
      <c r="AL1108" s="89"/>
      <c r="AM1108" s="89"/>
      <c r="AN1108" s="89"/>
      <c r="AO1108" s="89"/>
      <c r="AP1108" s="89"/>
      <c r="AQ1108" s="89"/>
      <c r="AR1108" s="89"/>
      <c r="AS1108" s="494"/>
      <c r="AT1108" s="494"/>
      <c r="AU1108" s="494"/>
      <c r="AV1108" s="494"/>
      <c r="AW1108" s="494"/>
      <c r="AX1108" s="494"/>
      <c r="AY1108" s="494"/>
      <c r="AZ1108" s="494"/>
      <c r="BA1108" s="494"/>
      <c r="BB1108" s="494"/>
      <c r="BC1108" s="494"/>
      <c r="BD1108" s="494"/>
      <c r="BE1108" s="494"/>
      <c r="BF1108" s="494"/>
      <c r="BG1108" s="494"/>
      <c r="BH1108" s="494"/>
      <c r="BI1108" s="494"/>
      <c r="BJ1108" s="494"/>
      <c r="BK1108" s="494"/>
      <c r="BL1108" s="494"/>
      <c r="BM1108" s="494"/>
      <c r="BN1108" s="494"/>
      <c r="BO1108" s="494"/>
      <c r="BP1108" s="494"/>
      <c r="BQ1108" s="494"/>
      <c r="BR1108" s="494"/>
      <c r="BS1108" s="494"/>
      <c r="BT1108" s="494"/>
      <c r="BU1108" s="494"/>
      <c r="BV1108" s="494"/>
      <c r="BW1108" s="494"/>
      <c r="BX1108" s="494"/>
      <c r="BY1108" s="494"/>
      <c r="BZ1108" s="494"/>
      <c r="CA1108" s="494"/>
      <c r="CB1108" s="494"/>
      <c r="CC1108" s="494"/>
      <c r="CD1108" s="494"/>
      <c r="CE1108" s="494"/>
      <c r="CF1108" s="494"/>
      <c r="CG1108" s="494"/>
      <c r="CH1108" s="494"/>
    </row>
    <row r="1109" spans="1:86" s="495" customFormat="1" ht="23.85" customHeight="1" thickBot="1" x14ac:dyDescent="0.25">
      <c r="A1109" s="1548"/>
      <c r="B1109" s="2014"/>
      <c r="C1109" s="1274"/>
      <c r="D1109" s="2043"/>
      <c r="E1109" s="1567"/>
      <c r="F1109" s="2043"/>
      <c r="G1109" s="1567"/>
      <c r="H1109" s="380"/>
      <c r="I1109" s="380"/>
      <c r="J1109" s="380"/>
      <c r="K1109" s="380"/>
      <c r="L1109" s="380"/>
      <c r="M1109" s="380"/>
      <c r="N1109" s="1600"/>
      <c r="O1109" s="1600"/>
      <c r="P1109" s="886" t="s">
        <v>11</v>
      </c>
      <c r="Q1109" s="1159">
        <v>223</v>
      </c>
      <c r="R1109" s="572" t="s">
        <v>524</v>
      </c>
      <c r="S1109" s="786">
        <v>613.60799999999995</v>
      </c>
      <c r="T1109" s="374"/>
      <c r="U1109" s="89"/>
      <c r="V1109" s="89"/>
      <c r="W1109" s="375"/>
      <c r="X1109" s="89"/>
      <c r="Y1109" s="240"/>
      <c r="Z1109" s="88"/>
      <c r="AA1109" s="88"/>
      <c r="AB1109" s="88"/>
      <c r="AC1109" s="88"/>
      <c r="AD1109" s="88"/>
      <c r="AE1109" s="88"/>
      <c r="AF1109" s="533"/>
      <c r="AG1109" s="917"/>
      <c r="AH1109" s="917"/>
      <c r="AI1109" s="1164"/>
      <c r="AJ1109" s="1164"/>
      <c r="AK1109" s="534"/>
      <c r="AL1109" s="89"/>
      <c r="AM1109" s="89"/>
      <c r="AN1109" s="89"/>
      <c r="AO1109" s="89"/>
      <c r="AP1109" s="89"/>
      <c r="AQ1109" s="89"/>
      <c r="AR1109" s="89"/>
      <c r="AS1109" s="494"/>
      <c r="AT1109" s="494"/>
      <c r="AU1109" s="494"/>
      <c r="AV1109" s="494"/>
      <c r="AW1109" s="494"/>
      <c r="AX1109" s="494"/>
      <c r="AY1109" s="494"/>
      <c r="AZ1109" s="494"/>
      <c r="BA1109" s="494"/>
      <c r="BB1109" s="494"/>
      <c r="BC1109" s="494"/>
      <c r="BD1109" s="494"/>
      <c r="BE1109" s="494"/>
      <c r="BF1109" s="494"/>
      <c r="BG1109" s="494"/>
      <c r="BH1109" s="494"/>
      <c r="BI1109" s="494"/>
      <c r="BJ1109" s="494"/>
      <c r="BK1109" s="494"/>
      <c r="BL1109" s="494"/>
      <c r="BM1109" s="494"/>
      <c r="BN1109" s="494"/>
      <c r="BO1109" s="494"/>
      <c r="BP1109" s="494"/>
      <c r="BQ1109" s="494"/>
      <c r="BR1109" s="494"/>
      <c r="BS1109" s="494"/>
      <c r="BT1109" s="494"/>
      <c r="BU1109" s="494"/>
      <c r="BV1109" s="494"/>
      <c r="BW1109" s="494"/>
      <c r="BX1109" s="494"/>
      <c r="BY1109" s="494"/>
      <c r="BZ1109" s="494"/>
      <c r="CA1109" s="494"/>
      <c r="CB1109" s="494"/>
      <c r="CC1109" s="494"/>
      <c r="CD1109" s="494"/>
      <c r="CE1109" s="494"/>
      <c r="CF1109" s="494"/>
      <c r="CG1109" s="494"/>
      <c r="CH1109" s="494"/>
    </row>
    <row r="1110" spans="1:86" s="495" customFormat="1" ht="23.85" customHeight="1" x14ac:dyDescent="0.2">
      <c r="A1110" s="1544">
        <v>10</v>
      </c>
      <c r="B1110" s="2023">
        <v>2246203</v>
      </c>
      <c r="C1110" s="1780" t="s">
        <v>120</v>
      </c>
      <c r="D1110" s="1577">
        <v>0.65</v>
      </c>
      <c r="E1110" s="2038">
        <v>4200</v>
      </c>
      <c r="F1110" s="1577">
        <v>0.65</v>
      </c>
      <c r="G1110" s="2038">
        <v>4200</v>
      </c>
      <c r="H1110" s="571"/>
      <c r="I1110" s="571"/>
      <c r="J1110" s="571"/>
      <c r="K1110" s="571"/>
      <c r="L1110" s="571"/>
      <c r="M1110" s="571"/>
      <c r="N1110" s="1605" t="s">
        <v>1401</v>
      </c>
      <c r="O1110" s="1605" t="s">
        <v>1402</v>
      </c>
      <c r="P1110" s="1227" t="s">
        <v>5</v>
      </c>
      <c r="Q1110" s="974">
        <v>0.33200000000000002</v>
      </c>
      <c r="R1110" s="554" t="s">
        <v>2</v>
      </c>
      <c r="S1110" s="1222">
        <f>3367.33612-S1112</f>
        <v>2243.0161200000002</v>
      </c>
      <c r="T1110" s="374"/>
      <c r="U1110" s="89"/>
      <c r="V1110" s="89"/>
      <c r="W1110" s="375"/>
      <c r="X1110" s="89"/>
      <c r="Y1110" s="240"/>
      <c r="Z1110" s="88"/>
      <c r="AA1110" s="88"/>
      <c r="AB1110" s="88"/>
      <c r="AC1110" s="88"/>
      <c r="AD1110" s="88"/>
      <c r="AE1110" s="88"/>
      <c r="AF1110" s="533"/>
      <c r="AG1110" s="917"/>
      <c r="AH1110" s="917"/>
      <c r="AI1110" s="1164"/>
      <c r="AJ1110" s="1164"/>
      <c r="AK1110" s="534"/>
      <c r="AL1110" s="89"/>
      <c r="AM1110" s="89"/>
      <c r="AN1110" s="89"/>
      <c r="AO1110" s="89"/>
      <c r="AP1110" s="89"/>
      <c r="AQ1110" s="89"/>
      <c r="AR1110" s="89"/>
      <c r="AS1110" s="494"/>
      <c r="AT1110" s="494"/>
      <c r="AU1110" s="494"/>
      <c r="AV1110" s="494"/>
      <c r="AW1110" s="494"/>
      <c r="AX1110" s="494"/>
      <c r="AY1110" s="494"/>
      <c r="AZ1110" s="494"/>
      <c r="BA1110" s="494"/>
      <c r="BB1110" s="494"/>
      <c r="BC1110" s="494"/>
      <c r="BD1110" s="494"/>
      <c r="BE1110" s="494"/>
      <c r="BF1110" s="494"/>
      <c r="BG1110" s="494"/>
      <c r="BH1110" s="494"/>
      <c r="BI1110" s="494"/>
      <c r="BJ1110" s="494"/>
      <c r="BK1110" s="494"/>
      <c r="BL1110" s="494"/>
      <c r="BM1110" s="494"/>
      <c r="BN1110" s="494"/>
      <c r="BO1110" s="494"/>
      <c r="BP1110" s="494"/>
      <c r="BQ1110" s="494"/>
      <c r="BR1110" s="494"/>
      <c r="BS1110" s="494"/>
      <c r="BT1110" s="494"/>
      <c r="BU1110" s="494"/>
      <c r="BV1110" s="494"/>
      <c r="BW1110" s="494"/>
      <c r="BX1110" s="494"/>
      <c r="BY1110" s="494"/>
      <c r="BZ1110" s="494"/>
      <c r="CA1110" s="494"/>
      <c r="CB1110" s="494"/>
      <c r="CC1110" s="494"/>
      <c r="CD1110" s="494"/>
      <c r="CE1110" s="494"/>
      <c r="CF1110" s="494"/>
      <c r="CG1110" s="494"/>
      <c r="CH1110" s="494"/>
    </row>
    <row r="1111" spans="1:86" s="495" customFormat="1" ht="23.85" customHeight="1" x14ac:dyDescent="0.2">
      <c r="A1111" s="1545"/>
      <c r="B1111" s="2045"/>
      <c r="C1111" s="2037"/>
      <c r="D1111" s="2041"/>
      <c r="E1111" s="2039"/>
      <c r="F1111" s="2041"/>
      <c r="G1111" s="2039"/>
      <c r="H1111" s="570"/>
      <c r="I1111" s="570"/>
      <c r="J1111" s="570"/>
      <c r="K1111" s="570"/>
      <c r="L1111" s="570"/>
      <c r="M1111" s="570"/>
      <c r="N1111" s="1607"/>
      <c r="O1111" s="1607"/>
      <c r="P1111" s="1215"/>
      <c r="Q1111" s="1158">
        <v>2304.6</v>
      </c>
      <c r="R1111" s="57" t="s">
        <v>524</v>
      </c>
      <c r="S1111" s="1223"/>
      <c r="T1111" s="374"/>
      <c r="U1111" s="89"/>
      <c r="V1111" s="89"/>
      <c r="W1111" s="375"/>
      <c r="X1111" s="89"/>
      <c r="Y1111" s="240"/>
      <c r="Z1111" s="88"/>
      <c r="AA1111" s="88"/>
      <c r="AB1111" s="88"/>
      <c r="AC1111" s="88"/>
      <c r="AD1111" s="88"/>
      <c r="AE1111" s="88"/>
      <c r="AF1111" s="533"/>
      <c r="AG1111" s="917"/>
      <c r="AH1111" s="917"/>
      <c r="AI1111" s="1164"/>
      <c r="AJ1111" s="1164"/>
      <c r="AK1111" s="534"/>
      <c r="AL1111" s="89"/>
      <c r="AM1111" s="89"/>
      <c r="AN1111" s="89"/>
      <c r="AO1111" s="89"/>
      <c r="AP1111" s="89"/>
      <c r="AQ1111" s="89"/>
      <c r="AR1111" s="89"/>
      <c r="AS1111" s="494"/>
      <c r="AT1111" s="494"/>
      <c r="AU1111" s="494"/>
      <c r="AV1111" s="494"/>
      <c r="AW1111" s="494"/>
      <c r="AX1111" s="494"/>
      <c r="AY1111" s="494"/>
      <c r="AZ1111" s="494"/>
      <c r="BA1111" s="494"/>
      <c r="BB1111" s="494"/>
      <c r="BC1111" s="494"/>
      <c r="BD1111" s="494"/>
      <c r="BE1111" s="494"/>
      <c r="BF1111" s="494"/>
      <c r="BG1111" s="494"/>
      <c r="BH1111" s="494"/>
      <c r="BI1111" s="494"/>
      <c r="BJ1111" s="494"/>
      <c r="BK1111" s="494"/>
      <c r="BL1111" s="494"/>
      <c r="BM1111" s="494"/>
      <c r="BN1111" s="494"/>
      <c r="BO1111" s="494"/>
      <c r="BP1111" s="494"/>
      <c r="BQ1111" s="494"/>
      <c r="BR1111" s="494"/>
      <c r="BS1111" s="494"/>
      <c r="BT1111" s="494"/>
      <c r="BU1111" s="494"/>
      <c r="BV1111" s="494"/>
      <c r="BW1111" s="494"/>
      <c r="BX1111" s="494"/>
      <c r="BY1111" s="494"/>
      <c r="BZ1111" s="494"/>
      <c r="CA1111" s="494"/>
      <c r="CB1111" s="494"/>
      <c r="CC1111" s="494"/>
      <c r="CD1111" s="494"/>
      <c r="CE1111" s="494"/>
      <c r="CF1111" s="494"/>
      <c r="CG1111" s="494"/>
      <c r="CH1111" s="494"/>
    </row>
    <row r="1112" spans="1:86" s="495" customFormat="1" ht="23.85" customHeight="1" thickBot="1" x14ac:dyDescent="0.25">
      <c r="A1112" s="1545"/>
      <c r="B1112" s="2046"/>
      <c r="C1112" s="1926"/>
      <c r="D1112" s="2042"/>
      <c r="E1112" s="2040"/>
      <c r="F1112" s="2042"/>
      <c r="G1112" s="2040"/>
      <c r="H1112" s="356"/>
      <c r="I1112" s="356"/>
      <c r="J1112" s="356"/>
      <c r="K1112" s="356"/>
      <c r="L1112" s="356"/>
      <c r="M1112" s="356"/>
      <c r="N1112" s="2044"/>
      <c r="O1112" s="2044"/>
      <c r="P1112" s="876" t="s">
        <v>11</v>
      </c>
      <c r="Q1112" s="1103">
        <v>451.5</v>
      </c>
      <c r="R1112" s="1163" t="s">
        <v>524</v>
      </c>
      <c r="S1112" s="903">
        <v>1124.32</v>
      </c>
      <c r="T1112" s="374"/>
      <c r="U1112" s="89"/>
      <c r="V1112" s="89"/>
      <c r="W1112" s="375"/>
      <c r="X1112" s="89"/>
      <c r="Y1112" s="240"/>
      <c r="Z1112" s="88"/>
      <c r="AA1112" s="88"/>
      <c r="AB1112" s="88"/>
      <c r="AC1112" s="88"/>
      <c r="AD1112" s="88"/>
      <c r="AE1112" s="88"/>
      <c r="AF1112" s="533"/>
      <c r="AG1112" s="917"/>
      <c r="AH1112" s="917"/>
      <c r="AI1112" s="1164"/>
      <c r="AJ1112" s="1164"/>
      <c r="AK1112" s="534"/>
      <c r="AL1112" s="89"/>
      <c r="AM1112" s="89"/>
      <c r="AN1112" s="89"/>
      <c r="AO1112" s="89"/>
      <c r="AP1112" s="89"/>
      <c r="AQ1112" s="89"/>
      <c r="AR1112" s="89"/>
      <c r="AS1112" s="494"/>
      <c r="AT1112" s="494"/>
      <c r="AU1112" s="494"/>
      <c r="AV1112" s="494"/>
      <c r="AW1112" s="494"/>
      <c r="AX1112" s="494"/>
      <c r="AY1112" s="494"/>
      <c r="AZ1112" s="494"/>
      <c r="BA1112" s="494"/>
      <c r="BB1112" s="494"/>
      <c r="BC1112" s="494"/>
      <c r="BD1112" s="494"/>
      <c r="BE1112" s="494"/>
      <c r="BF1112" s="494"/>
      <c r="BG1112" s="494"/>
      <c r="BH1112" s="494"/>
      <c r="BI1112" s="494"/>
      <c r="BJ1112" s="494"/>
      <c r="BK1112" s="494"/>
      <c r="BL1112" s="494"/>
      <c r="BM1112" s="494"/>
      <c r="BN1112" s="494"/>
      <c r="BO1112" s="494"/>
      <c r="BP1112" s="494"/>
      <c r="BQ1112" s="494"/>
      <c r="BR1112" s="494"/>
      <c r="BS1112" s="494"/>
      <c r="BT1112" s="494"/>
      <c r="BU1112" s="494"/>
      <c r="BV1112" s="494"/>
      <c r="BW1112" s="494"/>
      <c r="BX1112" s="494"/>
      <c r="BY1112" s="494"/>
      <c r="BZ1112" s="494"/>
      <c r="CA1112" s="494"/>
      <c r="CB1112" s="494"/>
      <c r="CC1112" s="494"/>
      <c r="CD1112" s="494"/>
      <c r="CE1112" s="494"/>
      <c r="CF1112" s="494"/>
      <c r="CG1112" s="494"/>
      <c r="CH1112" s="494"/>
    </row>
    <row r="1113" spans="1:86" s="59" customFormat="1" ht="23.85" customHeight="1" x14ac:dyDescent="0.2">
      <c r="A1113" s="1546">
        <v>11</v>
      </c>
      <c r="B1113" s="2013">
        <v>2242013</v>
      </c>
      <c r="C1113" s="1780" t="s">
        <v>119</v>
      </c>
      <c r="D1113" s="1257">
        <v>1.41</v>
      </c>
      <c r="E1113" s="2472">
        <v>10400</v>
      </c>
      <c r="F1113" s="1238">
        <v>1.41</v>
      </c>
      <c r="G1113" s="2472">
        <v>10400</v>
      </c>
      <c r="H1113" s="376"/>
      <c r="I1113" s="376"/>
      <c r="J1113" s="376"/>
      <c r="K1113" s="376"/>
      <c r="L1113" s="376"/>
      <c r="M1113" s="376"/>
      <c r="N1113" s="2023" t="s">
        <v>441</v>
      </c>
      <c r="O1113" s="2023" t="s">
        <v>1475</v>
      </c>
      <c r="P1113" s="2210" t="s">
        <v>5</v>
      </c>
      <c r="Q1113" s="877">
        <v>0.40100000000000002</v>
      </c>
      <c r="R1113" s="554" t="s">
        <v>2</v>
      </c>
      <c r="S1113" s="2021">
        <f>2641.2259+782.18114</f>
        <v>3423.4070400000001</v>
      </c>
      <c r="T1113" s="639"/>
      <c r="U1113" s="640"/>
      <c r="V1113" s="89"/>
      <c r="W1113" s="87"/>
      <c r="X1113" s="88"/>
      <c r="Y1113" s="240"/>
      <c r="Z1113" s="89"/>
      <c r="AA1113" s="89"/>
      <c r="AB1113" s="89"/>
      <c r="AC1113" s="89"/>
      <c r="AD1113" s="89"/>
      <c r="AE1113" s="89"/>
      <c r="AF1113" s="249"/>
      <c r="AG1113" s="45"/>
      <c r="AH1113" s="1051"/>
      <c r="AI1113" s="1051"/>
      <c r="AJ1113" s="1051"/>
      <c r="AK1113" s="260"/>
      <c r="AL1113" s="1044"/>
      <c r="AM1113" s="1044"/>
      <c r="AN1113" s="1040"/>
      <c r="AO1113" s="878"/>
      <c r="AP1113" s="57"/>
      <c r="AQ1113" s="89"/>
      <c r="AR1113" s="295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  <c r="BM1113" s="58"/>
      <c r="BN1113" s="58"/>
      <c r="BO1113" s="58"/>
      <c r="BP1113" s="58"/>
      <c r="BQ1113" s="58"/>
      <c r="BR1113" s="58"/>
      <c r="BS1113" s="58"/>
      <c r="BT1113" s="58"/>
      <c r="BU1113" s="58"/>
      <c r="BV1113" s="58"/>
      <c r="BW1113" s="58"/>
      <c r="BX1113" s="58"/>
      <c r="BY1113" s="58"/>
      <c r="BZ1113" s="58"/>
      <c r="CA1113" s="58"/>
      <c r="CB1113" s="58"/>
      <c r="CC1113" s="58"/>
      <c r="CD1113" s="58"/>
      <c r="CE1113" s="58"/>
      <c r="CF1113" s="58"/>
      <c r="CG1113" s="58"/>
      <c r="CH1113" s="58"/>
    </row>
    <row r="1114" spans="1:86" s="59" customFormat="1" ht="22.15" customHeight="1" thickBot="1" x14ac:dyDescent="0.25">
      <c r="A1114" s="1548"/>
      <c r="B1114" s="2014"/>
      <c r="C1114" s="1908"/>
      <c r="D1114" s="2043"/>
      <c r="E1114" s="2473"/>
      <c r="F1114" s="1239"/>
      <c r="G1114" s="2473"/>
      <c r="H1114" s="380"/>
      <c r="I1114" s="380"/>
      <c r="J1114" s="380"/>
      <c r="K1114" s="380"/>
      <c r="L1114" s="380"/>
      <c r="M1114" s="380"/>
      <c r="N1114" s="2024"/>
      <c r="O1114" s="2024"/>
      <c r="P1114" s="2211"/>
      <c r="Q1114" s="648">
        <f>1987+44</f>
        <v>2031</v>
      </c>
      <c r="R1114" s="572" t="s">
        <v>524</v>
      </c>
      <c r="S1114" s="2022"/>
      <c r="T1114" s="639"/>
      <c r="U1114" s="89"/>
      <c r="V1114" s="89"/>
      <c r="W1114" s="375"/>
      <c r="X1114" s="89"/>
      <c r="Y1114" s="240"/>
      <c r="Z1114" s="595"/>
      <c r="AA1114" s="595"/>
      <c r="AB1114" s="595"/>
      <c r="AC1114" s="89"/>
      <c r="AD1114" s="89"/>
      <c r="AE1114" s="88"/>
      <c r="AF1114" s="596"/>
      <c r="AG1114" s="429"/>
      <c r="AH1114" s="959"/>
      <c r="AI1114" s="959"/>
      <c r="AJ1114" s="959"/>
      <c r="AK1114" s="427"/>
      <c r="AL1114" s="917"/>
      <c r="AM1114" s="917"/>
      <c r="AN1114" s="1154"/>
      <c r="AO1114" s="911"/>
      <c r="AP1114" s="1164"/>
      <c r="AQ1114" s="89"/>
      <c r="AR1114" s="295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  <c r="BM1114" s="58"/>
      <c r="BN1114" s="58"/>
      <c r="BO1114" s="58"/>
      <c r="BP1114" s="58"/>
      <c r="BQ1114" s="58"/>
      <c r="BR1114" s="58"/>
      <c r="BS1114" s="58"/>
      <c r="BT1114" s="58"/>
      <c r="BU1114" s="58"/>
      <c r="BV1114" s="58"/>
      <c r="BW1114" s="58"/>
      <c r="BX1114" s="58"/>
      <c r="BY1114" s="58"/>
      <c r="BZ1114" s="58"/>
      <c r="CA1114" s="58"/>
      <c r="CB1114" s="58"/>
      <c r="CC1114" s="58"/>
      <c r="CD1114" s="58"/>
      <c r="CE1114" s="58"/>
      <c r="CF1114" s="58"/>
      <c r="CG1114" s="58"/>
      <c r="CH1114" s="58"/>
    </row>
    <row r="1115" spans="1:86" s="59" customFormat="1" ht="21.75" customHeight="1" x14ac:dyDescent="0.2">
      <c r="A1115" s="1624">
        <v>12</v>
      </c>
      <c r="B1115" s="1621">
        <v>3404373</v>
      </c>
      <c r="C1115" s="1618" t="s">
        <v>87</v>
      </c>
      <c r="D1115" s="2541">
        <f>6+5.805</f>
        <v>11.805</v>
      </c>
      <c r="E1115" s="2542">
        <f>W1116+W1118+W1120</f>
        <v>76055</v>
      </c>
      <c r="F1115" s="2541">
        <f>6+5.805</f>
        <v>11.805</v>
      </c>
      <c r="G1115" s="2542">
        <f>E1115</f>
        <v>76055</v>
      </c>
      <c r="H1115" s="89"/>
      <c r="I1115" s="89"/>
      <c r="J1115" s="89"/>
      <c r="K1115" s="89"/>
      <c r="L1115" s="89"/>
      <c r="M1115" s="89"/>
      <c r="N1115" s="89"/>
      <c r="O1115" s="89"/>
      <c r="P1115" s="89"/>
      <c r="Q1115" s="89"/>
      <c r="R1115" s="89"/>
      <c r="S1115" s="209"/>
      <c r="T1115" s="1408" t="s">
        <v>441</v>
      </c>
      <c r="U1115" s="1408" t="s">
        <v>1057</v>
      </c>
      <c r="V1115" s="1408" t="s">
        <v>5</v>
      </c>
      <c r="W1115" s="1153">
        <v>6</v>
      </c>
      <c r="X1115" s="1039" t="s">
        <v>2</v>
      </c>
      <c r="Y1115" s="1277">
        <f>47941.33022+4320</f>
        <v>52261.330220000003</v>
      </c>
      <c r="Z1115" s="86"/>
      <c r="AA1115" s="86"/>
      <c r="AB1115" s="86"/>
      <c r="AC1115" s="1152"/>
      <c r="AD1115" s="1116"/>
      <c r="AE1115" s="506"/>
      <c r="AF1115" s="354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  <c r="BM1115" s="58"/>
      <c r="BN1115" s="58"/>
      <c r="BO1115" s="58"/>
      <c r="BP1115" s="58"/>
      <c r="BQ1115" s="58"/>
      <c r="BR1115" s="58"/>
      <c r="BS1115" s="58"/>
      <c r="BT1115" s="58"/>
      <c r="BU1115" s="58"/>
      <c r="BV1115" s="58"/>
      <c r="BW1115" s="58"/>
      <c r="BX1115" s="58"/>
      <c r="BY1115" s="58"/>
      <c r="BZ1115" s="58"/>
      <c r="CA1115" s="58"/>
      <c r="CB1115" s="58"/>
      <c r="CC1115" s="58"/>
      <c r="CD1115" s="58"/>
      <c r="CE1115" s="58"/>
      <c r="CF1115" s="58"/>
      <c r="CG1115" s="58"/>
      <c r="CH1115" s="58"/>
    </row>
    <row r="1116" spans="1:86" s="59" customFormat="1" ht="21.75" customHeight="1" x14ac:dyDescent="0.2">
      <c r="A1116" s="1625"/>
      <c r="B1116" s="1622"/>
      <c r="C1116" s="1619"/>
      <c r="D1116" s="2543"/>
      <c r="E1116" s="2544"/>
      <c r="F1116" s="2543"/>
      <c r="G1116" s="2544"/>
      <c r="H1116" s="89"/>
      <c r="I1116" s="89"/>
      <c r="J1116" s="89"/>
      <c r="K1116" s="89"/>
      <c r="L1116" s="89"/>
      <c r="M1116" s="89"/>
      <c r="N1116" s="89"/>
      <c r="O1116" s="89"/>
      <c r="P1116" s="89"/>
      <c r="Q1116" s="89"/>
      <c r="R1116" s="89"/>
      <c r="S1116" s="209"/>
      <c r="T1116" s="1568"/>
      <c r="U1116" s="1568"/>
      <c r="V1116" s="1568"/>
      <c r="W1116" s="1116">
        <v>36400</v>
      </c>
      <c r="X1116" s="1116" t="s">
        <v>4</v>
      </c>
      <c r="Y1116" s="1277"/>
      <c r="Z1116" s="487"/>
      <c r="AA1116" s="487"/>
      <c r="AB1116" s="487"/>
      <c r="AC1116" s="649"/>
      <c r="AD1116" s="1116"/>
      <c r="AE1116" s="506"/>
      <c r="AF1116" s="374"/>
      <c r="AG1116" s="89"/>
      <c r="AH1116" s="89"/>
      <c r="AI1116" s="89"/>
      <c r="AJ1116" s="89"/>
      <c r="AK1116" s="89"/>
      <c r="AL1116" s="89"/>
      <c r="AM1116" s="89"/>
      <c r="AN1116" s="89"/>
      <c r="AO1116" s="89"/>
      <c r="AP1116" s="89"/>
      <c r="AQ1116" s="89"/>
      <c r="AR1116" s="89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  <c r="BM1116" s="58"/>
      <c r="BN1116" s="58"/>
      <c r="BO1116" s="58"/>
      <c r="BP1116" s="58"/>
      <c r="BQ1116" s="58"/>
      <c r="BR1116" s="58"/>
      <c r="BS1116" s="58"/>
      <c r="BT1116" s="58"/>
      <c r="BU1116" s="58"/>
      <c r="BV1116" s="58"/>
      <c r="BW1116" s="58"/>
      <c r="BX1116" s="58"/>
      <c r="BY1116" s="58"/>
      <c r="BZ1116" s="58"/>
      <c r="CA1116" s="58"/>
      <c r="CB1116" s="58"/>
      <c r="CC1116" s="58"/>
      <c r="CD1116" s="58"/>
      <c r="CE1116" s="58"/>
      <c r="CF1116" s="58"/>
      <c r="CG1116" s="58"/>
      <c r="CH1116" s="58"/>
    </row>
    <row r="1117" spans="1:86" s="59" customFormat="1" ht="21.75" customHeight="1" x14ac:dyDescent="0.2">
      <c r="A1117" s="1625"/>
      <c r="B1117" s="1622"/>
      <c r="C1117" s="1619"/>
      <c r="D1117" s="2543"/>
      <c r="E1117" s="2544"/>
      <c r="F1117" s="2543"/>
      <c r="G1117" s="2544"/>
      <c r="H1117" s="89"/>
      <c r="I1117" s="89"/>
      <c r="J1117" s="89"/>
      <c r="K1117" s="89"/>
      <c r="L1117" s="89"/>
      <c r="M1117" s="89"/>
      <c r="N1117" s="89"/>
      <c r="O1117" s="89"/>
      <c r="P1117" s="89"/>
      <c r="Q1117" s="89"/>
      <c r="R1117" s="89"/>
      <c r="S1117" s="209"/>
      <c r="T1117" s="1524" t="s">
        <v>1057</v>
      </c>
      <c r="U1117" s="1524" t="s">
        <v>1476</v>
      </c>
      <c r="V1117" s="1524" t="s">
        <v>5</v>
      </c>
      <c r="W1117" s="1153">
        <v>5.8049999999999997</v>
      </c>
      <c r="X1117" s="1039" t="s">
        <v>2</v>
      </c>
      <c r="Y1117" s="2474">
        <f>50576.3304+2374.87454</f>
        <v>52951.204939999996</v>
      </c>
      <c r="Z1117" s="86"/>
      <c r="AA1117" s="86"/>
      <c r="AB1117" s="34"/>
      <c r="AC1117" s="1152"/>
      <c r="AD1117" s="1116"/>
      <c r="AE1117" s="506"/>
      <c r="AF1117" s="374"/>
      <c r="AG1117" s="89"/>
      <c r="AH1117" s="89"/>
      <c r="AI1117" s="89"/>
      <c r="AJ1117" s="89"/>
      <c r="AK1117" s="89"/>
      <c r="AL1117" s="89"/>
      <c r="AM1117" s="89"/>
      <c r="AN1117" s="89"/>
      <c r="AO1117" s="89"/>
      <c r="AP1117" s="89"/>
      <c r="AQ1117" s="89"/>
      <c r="AR1117" s="89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8"/>
      <c r="BQ1117" s="58"/>
      <c r="BR1117" s="58"/>
      <c r="BS1117" s="58"/>
      <c r="BT1117" s="58"/>
      <c r="BU1117" s="58"/>
      <c r="BV1117" s="58"/>
      <c r="BW1117" s="58"/>
      <c r="BX1117" s="58"/>
      <c r="BY1117" s="58"/>
      <c r="BZ1117" s="58"/>
      <c r="CA1117" s="58"/>
      <c r="CB1117" s="58"/>
      <c r="CC1117" s="58"/>
      <c r="CD1117" s="58"/>
      <c r="CE1117" s="58"/>
      <c r="CF1117" s="58"/>
      <c r="CG1117" s="58"/>
      <c r="CH1117" s="58"/>
    </row>
    <row r="1118" spans="1:86" s="59" customFormat="1" ht="21.75" customHeight="1" x14ac:dyDescent="0.2">
      <c r="A1118" s="1625"/>
      <c r="B1118" s="1622"/>
      <c r="C1118" s="1619"/>
      <c r="D1118" s="2543"/>
      <c r="E1118" s="2544"/>
      <c r="F1118" s="2543"/>
      <c r="G1118" s="2544"/>
      <c r="H1118" s="89"/>
      <c r="I1118" s="89"/>
      <c r="J1118" s="89"/>
      <c r="K1118" s="89"/>
      <c r="L1118" s="89"/>
      <c r="M1118" s="89"/>
      <c r="N1118" s="89"/>
      <c r="O1118" s="89"/>
      <c r="P1118" s="89"/>
      <c r="Q1118" s="89"/>
      <c r="R1118" s="89"/>
      <c r="S1118" s="209"/>
      <c r="T1118" s="1525"/>
      <c r="U1118" s="1525"/>
      <c r="V1118" s="1525"/>
      <c r="W1118" s="649">
        <v>34830</v>
      </c>
      <c r="X1118" s="1116" t="s">
        <v>4</v>
      </c>
      <c r="Y1118" s="2475"/>
      <c r="Z1118" s="487"/>
      <c r="AA1118" s="487"/>
      <c r="AB1118" s="487"/>
      <c r="AC1118" s="1116"/>
      <c r="AD1118" s="1116"/>
      <c r="AE1118" s="506"/>
      <c r="AF1118" s="88"/>
      <c r="AG1118" s="88"/>
      <c r="AH1118" s="88"/>
      <c r="AI1118" s="88"/>
      <c r="AJ1118" s="88"/>
      <c r="AK1118" s="88"/>
      <c r="AL1118" s="89"/>
      <c r="AM1118" s="89"/>
      <c r="AN1118" s="89"/>
      <c r="AO1118" s="89"/>
      <c r="AP1118" s="89"/>
      <c r="AQ1118" s="89"/>
      <c r="AR1118" s="89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  <c r="BM1118" s="58"/>
      <c r="BN1118" s="58"/>
      <c r="BO1118" s="58"/>
      <c r="BP1118" s="58"/>
      <c r="BQ1118" s="58"/>
      <c r="BR1118" s="58"/>
      <c r="BS1118" s="58"/>
      <c r="BT1118" s="58"/>
      <c r="BU1118" s="58"/>
      <c r="BV1118" s="58"/>
      <c r="BW1118" s="58"/>
      <c r="BX1118" s="58"/>
      <c r="BY1118" s="58"/>
      <c r="BZ1118" s="58"/>
      <c r="CA1118" s="58"/>
      <c r="CB1118" s="58"/>
      <c r="CC1118" s="58"/>
      <c r="CD1118" s="58"/>
      <c r="CE1118" s="58"/>
      <c r="CF1118" s="58"/>
      <c r="CG1118" s="58"/>
      <c r="CH1118" s="58"/>
    </row>
    <row r="1119" spans="1:86" s="59" customFormat="1" ht="21.75" customHeight="1" x14ac:dyDescent="0.2">
      <c r="A1119" s="1625"/>
      <c r="B1119" s="1622"/>
      <c r="C1119" s="1619"/>
      <c r="D1119" s="2543"/>
      <c r="E1119" s="2544"/>
      <c r="F1119" s="2543"/>
      <c r="G1119" s="2544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403"/>
      <c r="T1119" s="1524" t="s">
        <v>1476</v>
      </c>
      <c r="U1119" s="2017" t="s">
        <v>1486</v>
      </c>
      <c r="V1119" s="1524" t="s">
        <v>5</v>
      </c>
      <c r="W1119" s="1152">
        <v>0.75</v>
      </c>
      <c r="X1119" s="1039" t="s">
        <v>2</v>
      </c>
      <c r="Y1119" s="2018">
        <v>7868.3726399999996</v>
      </c>
      <c r="Z1119" s="1161"/>
      <c r="AA1119" s="1161"/>
      <c r="AB1119" s="1161"/>
      <c r="AC1119" s="1161"/>
      <c r="AD1119" s="1161"/>
      <c r="AE1119" s="506"/>
      <c r="AF1119" s="88"/>
      <c r="AG1119" s="88"/>
      <c r="AH1119" s="88"/>
      <c r="AI1119" s="88"/>
      <c r="AJ1119" s="88"/>
      <c r="AK1119" s="88"/>
      <c r="AL1119" s="374"/>
      <c r="AM1119" s="89"/>
      <c r="AN1119" s="89"/>
      <c r="AO1119" s="89"/>
      <c r="AP1119" s="89"/>
      <c r="AQ1119" s="89"/>
      <c r="AR1119" s="89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  <c r="BM1119" s="58"/>
      <c r="BN1119" s="58"/>
      <c r="BO1119" s="58"/>
      <c r="BP1119" s="58"/>
      <c r="BQ1119" s="58"/>
      <c r="BR1119" s="58"/>
      <c r="BS1119" s="58"/>
      <c r="BT1119" s="58"/>
      <c r="BU1119" s="58"/>
      <c r="BV1119" s="58"/>
      <c r="BW1119" s="58"/>
      <c r="BX1119" s="58"/>
      <c r="BY1119" s="58"/>
      <c r="BZ1119" s="58"/>
      <c r="CA1119" s="58"/>
      <c r="CB1119" s="58"/>
      <c r="CC1119" s="58"/>
      <c r="CD1119" s="58"/>
      <c r="CE1119" s="58"/>
      <c r="CF1119" s="58"/>
      <c r="CG1119" s="58"/>
      <c r="CH1119" s="58"/>
    </row>
    <row r="1120" spans="1:86" s="59" customFormat="1" ht="21.75" customHeight="1" x14ac:dyDescent="0.2">
      <c r="A1120" s="1509"/>
      <c r="B1120" s="1623"/>
      <c r="C1120" s="1620"/>
      <c r="D1120" s="2545"/>
      <c r="E1120" s="2546"/>
      <c r="F1120" s="2545"/>
      <c r="G1120" s="2546"/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403"/>
      <c r="T1120" s="1525"/>
      <c r="U1120" s="1409"/>
      <c r="V1120" s="1525"/>
      <c r="W1120" s="1116">
        <v>4825</v>
      </c>
      <c r="X1120" s="1116" t="s">
        <v>4</v>
      </c>
      <c r="Y1120" s="1232"/>
      <c r="Z1120" s="1161"/>
      <c r="AA1120" s="1161"/>
      <c r="AB1120" s="1161"/>
      <c r="AC1120" s="1161"/>
      <c r="AD1120" s="1161"/>
      <c r="AE1120" s="658"/>
      <c r="AF1120" s="88"/>
      <c r="AG1120" s="88"/>
      <c r="AH1120" s="88"/>
      <c r="AI1120" s="88"/>
      <c r="AJ1120" s="88"/>
      <c r="AK1120" s="88"/>
      <c r="AL1120" s="374"/>
      <c r="AM1120" s="89"/>
      <c r="AN1120" s="89"/>
      <c r="AO1120" s="89"/>
      <c r="AP1120" s="89"/>
      <c r="AQ1120" s="89"/>
      <c r="AR1120" s="89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  <c r="BM1120" s="58"/>
      <c r="BN1120" s="58"/>
      <c r="BO1120" s="58"/>
      <c r="BP1120" s="58"/>
      <c r="BQ1120" s="58"/>
      <c r="BR1120" s="58"/>
      <c r="BS1120" s="58"/>
      <c r="BT1120" s="58"/>
      <c r="BU1120" s="58"/>
      <c r="BV1120" s="58"/>
      <c r="BW1120" s="58"/>
      <c r="BX1120" s="58"/>
      <c r="BY1120" s="58"/>
      <c r="BZ1120" s="58"/>
      <c r="CA1120" s="58"/>
      <c r="CB1120" s="58"/>
      <c r="CC1120" s="58"/>
      <c r="CD1120" s="58"/>
      <c r="CE1120" s="58"/>
      <c r="CF1120" s="58"/>
      <c r="CG1120" s="58"/>
      <c r="CH1120" s="58"/>
    </row>
    <row r="1121" spans="1:86" s="59" customFormat="1" ht="21.75" customHeight="1" x14ac:dyDescent="0.2">
      <c r="A1121" s="1508">
        <v>13</v>
      </c>
      <c r="B1121" s="2009">
        <v>2240977</v>
      </c>
      <c r="C1121" s="1878" t="s">
        <v>1480</v>
      </c>
      <c r="D1121" s="1683">
        <v>1.98</v>
      </c>
      <c r="E1121" s="1682">
        <v>11037</v>
      </c>
      <c r="F1121" s="1683">
        <v>1.98</v>
      </c>
      <c r="G1121" s="1682">
        <v>11037</v>
      </c>
      <c r="H1121" s="88"/>
      <c r="I1121" s="88"/>
      <c r="J1121" s="88"/>
      <c r="K1121" s="88"/>
      <c r="L1121" s="88"/>
      <c r="M1121" s="88"/>
      <c r="N1121" s="88"/>
      <c r="O1121" s="88"/>
      <c r="P1121" s="88"/>
      <c r="Q1121" s="88"/>
      <c r="R1121" s="88"/>
      <c r="S1121" s="403"/>
      <c r="T1121" s="2017" t="s">
        <v>441</v>
      </c>
      <c r="U1121" s="2017" t="s">
        <v>542</v>
      </c>
      <c r="V1121" s="1524" t="s">
        <v>5</v>
      </c>
      <c r="W1121" s="1116"/>
      <c r="X1121" s="1039" t="s">
        <v>2</v>
      </c>
      <c r="Y1121" s="2018">
        <v>12898.66251</v>
      </c>
      <c r="Z1121" s="2017" t="s">
        <v>441</v>
      </c>
      <c r="AA1121" s="2017" t="s">
        <v>542</v>
      </c>
      <c r="AB1121" s="1524" t="s">
        <v>5</v>
      </c>
      <c r="AC1121" s="1152">
        <v>1.98</v>
      </c>
      <c r="AD1121" s="1116" t="s">
        <v>2</v>
      </c>
      <c r="AE1121" s="1277">
        <v>11576.977929999999</v>
      </c>
      <c r="AF1121" s="88"/>
      <c r="AG1121" s="88"/>
      <c r="AH1121" s="88"/>
      <c r="AI1121" s="88"/>
      <c r="AJ1121" s="88"/>
      <c r="AK1121" s="88"/>
      <c r="AL1121" s="374"/>
      <c r="AM1121" s="89"/>
      <c r="AN1121" s="89"/>
      <c r="AO1121" s="89"/>
      <c r="AP1121" s="89"/>
      <c r="AQ1121" s="89"/>
      <c r="AR1121" s="89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  <c r="BM1121" s="58"/>
      <c r="BN1121" s="58"/>
      <c r="BO1121" s="58"/>
      <c r="BP1121" s="58"/>
      <c r="BQ1121" s="58"/>
      <c r="BR1121" s="58"/>
      <c r="BS1121" s="58"/>
      <c r="BT1121" s="58"/>
      <c r="BU1121" s="58"/>
      <c r="BV1121" s="58"/>
      <c r="BW1121" s="58"/>
      <c r="BX1121" s="58"/>
      <c r="BY1121" s="58"/>
      <c r="BZ1121" s="58"/>
      <c r="CA1121" s="58"/>
      <c r="CB1121" s="58"/>
      <c r="CC1121" s="58"/>
      <c r="CD1121" s="58"/>
      <c r="CE1121" s="58"/>
      <c r="CF1121" s="58"/>
      <c r="CG1121" s="58"/>
      <c r="CH1121" s="58"/>
    </row>
    <row r="1122" spans="1:86" s="59" customFormat="1" ht="21.75" customHeight="1" x14ac:dyDescent="0.2">
      <c r="A1122" s="1509"/>
      <c r="B1122" s="1209"/>
      <c r="C1122" s="1211"/>
      <c r="D1122" s="1416"/>
      <c r="E1122" s="1418"/>
      <c r="F1122" s="1416"/>
      <c r="G1122" s="1418"/>
      <c r="H1122" s="88"/>
      <c r="I1122" s="88"/>
      <c r="J1122" s="88"/>
      <c r="K1122" s="88"/>
      <c r="L1122" s="88"/>
      <c r="M1122" s="88"/>
      <c r="N1122" s="88"/>
      <c r="O1122" s="88"/>
      <c r="P1122" s="88"/>
      <c r="Q1122" s="88"/>
      <c r="R1122" s="88"/>
      <c r="S1122" s="403"/>
      <c r="T1122" s="1409"/>
      <c r="U1122" s="1409"/>
      <c r="V1122" s="1525"/>
      <c r="W1122" s="1116"/>
      <c r="X1122" s="1116" t="s">
        <v>4</v>
      </c>
      <c r="Y1122" s="1232"/>
      <c r="Z1122" s="1409"/>
      <c r="AA1122" s="1409"/>
      <c r="AB1122" s="1525"/>
      <c r="AC1122" s="918">
        <v>11505</v>
      </c>
      <c r="AD1122" s="1116" t="s">
        <v>4</v>
      </c>
      <c r="AE1122" s="1277"/>
      <c r="AF1122" s="88"/>
      <c r="AG1122" s="88"/>
      <c r="AH1122" s="88"/>
      <c r="AI1122" s="88"/>
      <c r="AJ1122" s="88"/>
      <c r="AK1122" s="88"/>
      <c r="AL1122" s="374"/>
      <c r="AM1122" s="89"/>
      <c r="AN1122" s="89"/>
      <c r="AO1122" s="89"/>
      <c r="AP1122" s="89"/>
      <c r="AQ1122" s="89"/>
      <c r="AR1122" s="89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  <c r="BM1122" s="58"/>
      <c r="BN1122" s="58"/>
      <c r="BO1122" s="58"/>
      <c r="BP1122" s="58"/>
      <c r="BQ1122" s="58"/>
      <c r="BR1122" s="58"/>
      <c r="BS1122" s="58"/>
      <c r="BT1122" s="58"/>
      <c r="BU1122" s="58"/>
      <c r="BV1122" s="58"/>
      <c r="BW1122" s="58"/>
      <c r="BX1122" s="58"/>
      <c r="BY1122" s="58"/>
      <c r="BZ1122" s="58"/>
      <c r="CA1122" s="58"/>
      <c r="CB1122" s="58"/>
      <c r="CC1122" s="58"/>
      <c r="CD1122" s="58"/>
      <c r="CE1122" s="58"/>
      <c r="CF1122" s="58"/>
      <c r="CG1122" s="58"/>
      <c r="CH1122" s="58"/>
    </row>
    <row r="1123" spans="1:86" s="59" customFormat="1" ht="21.75" customHeight="1" x14ac:dyDescent="0.2">
      <c r="A1123" s="1604">
        <v>14</v>
      </c>
      <c r="B1123" s="1420">
        <v>3404388</v>
      </c>
      <c r="C1123" s="2248" t="s">
        <v>88</v>
      </c>
      <c r="D1123" s="2547">
        <v>3.4049999999999998</v>
      </c>
      <c r="E1123" s="2548">
        <f>D1123*6000</f>
        <v>20430</v>
      </c>
      <c r="F1123" s="2547">
        <v>3.4049999999999998</v>
      </c>
      <c r="G1123" s="2548">
        <f>F1123*6000</f>
        <v>20430</v>
      </c>
      <c r="H1123" s="89"/>
      <c r="I1123" s="89"/>
      <c r="J1123" s="89"/>
      <c r="K1123" s="89"/>
      <c r="L1123" s="89"/>
      <c r="M1123" s="89"/>
      <c r="N1123" s="89"/>
      <c r="O1123" s="89"/>
      <c r="P1123" s="89"/>
      <c r="Q1123" s="89"/>
      <c r="R1123" s="89"/>
      <c r="S1123" s="209"/>
      <c r="T1123" s="89"/>
      <c r="U1123" s="89"/>
      <c r="V1123" s="89"/>
      <c r="W1123" s="375"/>
      <c r="X1123" s="89"/>
      <c r="Y1123" s="240"/>
      <c r="Z1123" s="1524" t="s">
        <v>441</v>
      </c>
      <c r="AA1123" s="1524" t="s">
        <v>1552</v>
      </c>
      <c r="AB1123" s="1524" t="s">
        <v>5</v>
      </c>
      <c r="AC1123" s="1152">
        <v>4.0999999999999996</v>
      </c>
      <c r="AD1123" s="1116" t="s">
        <v>2</v>
      </c>
      <c r="AE1123" s="2476">
        <v>50524.062559999998</v>
      </c>
      <c r="AF1123" s="86"/>
      <c r="AG1123" s="86"/>
      <c r="AH1123" s="86"/>
      <c r="AI1123" s="1152"/>
      <c r="AJ1123" s="1116"/>
      <c r="AK1123" s="652"/>
      <c r="AL1123" s="374"/>
      <c r="AM1123" s="89"/>
      <c r="AN1123" s="89"/>
      <c r="AO1123" s="89"/>
      <c r="AP1123" s="89"/>
      <c r="AQ1123" s="89"/>
      <c r="AR1123" s="89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  <c r="BM1123" s="58"/>
      <c r="BN1123" s="58"/>
      <c r="BO1123" s="58"/>
      <c r="BP1123" s="58"/>
      <c r="BQ1123" s="58"/>
      <c r="BR1123" s="58"/>
      <c r="BS1123" s="58"/>
      <c r="BT1123" s="58"/>
      <c r="BU1123" s="58"/>
      <c r="BV1123" s="58"/>
      <c r="BW1123" s="58"/>
      <c r="BX1123" s="58"/>
      <c r="BY1123" s="58"/>
      <c r="BZ1123" s="58"/>
      <c r="CA1123" s="58"/>
      <c r="CB1123" s="58"/>
      <c r="CC1123" s="58"/>
      <c r="CD1123" s="58"/>
      <c r="CE1123" s="58"/>
      <c r="CF1123" s="58"/>
      <c r="CG1123" s="58"/>
      <c r="CH1123" s="58"/>
    </row>
    <row r="1124" spans="1:86" s="59" customFormat="1" ht="21.75" customHeight="1" x14ac:dyDescent="0.2">
      <c r="A1124" s="1814"/>
      <c r="B1124" s="1690"/>
      <c r="C1124" s="2019"/>
      <c r="D1124" s="2549"/>
      <c r="E1124" s="2550"/>
      <c r="F1124" s="2549"/>
      <c r="G1124" s="2550"/>
      <c r="H1124" s="89"/>
      <c r="I1124" s="89"/>
      <c r="J1124" s="89"/>
      <c r="K1124" s="89"/>
      <c r="L1124" s="89"/>
      <c r="M1124" s="89"/>
      <c r="N1124" s="89"/>
      <c r="O1124" s="89"/>
      <c r="P1124" s="89"/>
      <c r="Q1124" s="89"/>
      <c r="R1124" s="89"/>
      <c r="S1124" s="209"/>
      <c r="T1124" s="89"/>
      <c r="U1124" s="89"/>
      <c r="V1124" s="89"/>
      <c r="W1124" s="87"/>
      <c r="X1124" s="88"/>
      <c r="Y1124" s="240"/>
      <c r="Z1124" s="1524"/>
      <c r="AA1124" s="1524"/>
      <c r="AB1124" s="1525"/>
      <c r="AC1124" s="1116">
        <v>20430</v>
      </c>
      <c r="AD1124" s="1116" t="s">
        <v>4</v>
      </c>
      <c r="AE1124" s="2476"/>
      <c r="AF1124" s="86"/>
      <c r="AG1124" s="86"/>
      <c r="AH1124" s="487"/>
      <c r="AI1124" s="1116"/>
      <c r="AJ1124" s="1116"/>
      <c r="AK1124" s="652"/>
      <c r="AL1124" s="374"/>
      <c r="AM1124" s="89"/>
      <c r="AN1124" s="89"/>
      <c r="AO1124" s="89"/>
      <c r="AP1124" s="89"/>
      <c r="AQ1124" s="89"/>
      <c r="AR1124" s="89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  <c r="BM1124" s="58"/>
      <c r="BN1124" s="58"/>
      <c r="BO1124" s="58"/>
      <c r="BP1124" s="58"/>
      <c r="BQ1124" s="58"/>
      <c r="BR1124" s="58"/>
      <c r="BS1124" s="58"/>
      <c r="BT1124" s="58"/>
      <c r="BU1124" s="58"/>
      <c r="BV1124" s="58"/>
      <c r="BW1124" s="58"/>
      <c r="BX1124" s="58"/>
      <c r="BY1124" s="58"/>
      <c r="BZ1124" s="58"/>
      <c r="CA1124" s="58"/>
      <c r="CB1124" s="58"/>
      <c r="CC1124" s="58"/>
      <c r="CD1124" s="58"/>
      <c r="CE1124" s="58"/>
      <c r="CF1124" s="58"/>
      <c r="CG1124" s="58"/>
      <c r="CH1124" s="58"/>
    </row>
    <row r="1125" spans="1:86" s="59" customFormat="1" ht="21.75" hidden="1" customHeight="1" x14ac:dyDescent="0.2">
      <c r="A1125" s="1173"/>
      <c r="B1125" s="1525"/>
      <c r="C1125" s="2020"/>
      <c r="D1125" s="2551"/>
      <c r="E1125" s="2552"/>
      <c r="F1125" s="2551"/>
      <c r="G1125" s="2552"/>
      <c r="H1125" s="89"/>
      <c r="I1125" s="89"/>
      <c r="J1125" s="89"/>
      <c r="K1125" s="89"/>
      <c r="L1125" s="89"/>
      <c r="M1125" s="89"/>
      <c r="N1125" s="89"/>
      <c r="O1125" s="89"/>
      <c r="P1125" s="89"/>
      <c r="Q1125" s="89"/>
      <c r="R1125" s="89"/>
      <c r="S1125" s="209"/>
      <c r="T1125" s="89"/>
      <c r="U1125" s="89"/>
      <c r="V1125" s="89"/>
      <c r="W1125" s="87"/>
      <c r="X1125" s="88"/>
      <c r="Y1125" s="240"/>
      <c r="Z1125" s="1524"/>
      <c r="AA1125" s="1524"/>
      <c r="AB1125" s="1116" t="s">
        <v>6</v>
      </c>
      <c r="AC1125" s="1116">
        <v>3.41</v>
      </c>
      <c r="AD1125" s="1116" t="s">
        <v>2</v>
      </c>
      <c r="AE1125" s="2476"/>
      <c r="AF1125" s="86"/>
      <c r="AG1125" s="86"/>
      <c r="AH1125" s="1116"/>
      <c r="AI1125" s="1116"/>
      <c r="AJ1125" s="1116"/>
      <c r="AK1125" s="652"/>
      <c r="AL1125" s="374"/>
      <c r="AM1125" s="89"/>
      <c r="AN1125" s="89"/>
      <c r="AO1125" s="89"/>
      <c r="AP1125" s="89"/>
      <c r="AQ1125" s="89"/>
      <c r="AR1125" s="89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  <c r="BM1125" s="58"/>
      <c r="BN1125" s="58"/>
      <c r="BO1125" s="58"/>
      <c r="BP1125" s="58"/>
      <c r="BQ1125" s="58"/>
      <c r="BR1125" s="58"/>
      <c r="BS1125" s="58"/>
      <c r="BT1125" s="58"/>
      <c r="BU1125" s="58"/>
      <c r="BV1125" s="58"/>
      <c r="BW1125" s="58"/>
      <c r="BX1125" s="58"/>
      <c r="BY1125" s="58"/>
      <c r="BZ1125" s="58"/>
      <c r="CA1125" s="58"/>
      <c r="CB1125" s="58"/>
      <c r="CC1125" s="58"/>
      <c r="CD1125" s="58"/>
      <c r="CE1125" s="58"/>
      <c r="CF1125" s="58"/>
      <c r="CG1125" s="58"/>
      <c r="CH1125" s="58"/>
    </row>
    <row r="1126" spans="1:86" s="59" customFormat="1" ht="21.75" hidden="1" customHeight="1" x14ac:dyDescent="0.2">
      <c r="A1126" s="1173"/>
      <c r="B1126" s="1525"/>
      <c r="C1126" s="2020"/>
      <c r="D1126" s="2551"/>
      <c r="E1126" s="2552"/>
      <c r="F1126" s="2551"/>
      <c r="G1126" s="2552"/>
      <c r="H1126" s="89"/>
      <c r="I1126" s="89"/>
      <c r="J1126" s="89"/>
      <c r="K1126" s="89"/>
      <c r="L1126" s="89"/>
      <c r="M1126" s="89"/>
      <c r="N1126" s="89"/>
      <c r="O1126" s="89"/>
      <c r="P1126" s="89"/>
      <c r="Q1126" s="89"/>
      <c r="R1126" s="89"/>
      <c r="S1126" s="209"/>
      <c r="T1126" s="89"/>
      <c r="U1126" s="89"/>
      <c r="V1126" s="89"/>
      <c r="W1126" s="87"/>
      <c r="X1126" s="88"/>
      <c r="Y1126" s="240"/>
      <c r="Z1126" s="1524" t="s">
        <v>513</v>
      </c>
      <c r="AA1126" s="1524" t="s">
        <v>514</v>
      </c>
      <c r="AB1126" s="1116" t="s">
        <v>12</v>
      </c>
      <c r="AC1126" s="1116">
        <v>3</v>
      </c>
      <c r="AD1126" s="1116" t="s">
        <v>512</v>
      </c>
      <c r="AE1126" s="2476"/>
      <c r="AF1126" s="86"/>
      <c r="AG1126" s="86"/>
      <c r="AH1126" s="1116"/>
      <c r="AI1126" s="1116"/>
      <c r="AJ1126" s="1116"/>
      <c r="AK1126" s="652"/>
      <c r="AL1126" s="374"/>
      <c r="AM1126" s="89"/>
      <c r="AN1126" s="89"/>
      <c r="AO1126" s="89"/>
      <c r="AP1126" s="89"/>
      <c r="AQ1126" s="89"/>
      <c r="AR1126" s="89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  <c r="BM1126" s="58"/>
      <c r="BN1126" s="58"/>
      <c r="BO1126" s="58"/>
      <c r="BP1126" s="58"/>
      <c r="BQ1126" s="58"/>
      <c r="BR1126" s="58"/>
      <c r="BS1126" s="58"/>
      <c r="BT1126" s="58"/>
      <c r="BU1126" s="58"/>
      <c r="BV1126" s="58"/>
      <c r="BW1126" s="58"/>
      <c r="BX1126" s="58"/>
      <c r="BY1126" s="58"/>
      <c r="BZ1126" s="58"/>
      <c r="CA1126" s="58"/>
      <c r="CB1126" s="58"/>
      <c r="CC1126" s="58"/>
      <c r="CD1126" s="58"/>
      <c r="CE1126" s="58"/>
      <c r="CF1126" s="58"/>
      <c r="CG1126" s="58"/>
      <c r="CH1126" s="58"/>
    </row>
    <row r="1127" spans="1:86" s="59" customFormat="1" ht="28.35" hidden="1" customHeight="1" thickBot="1" x14ac:dyDescent="0.25">
      <c r="A1127" s="1173"/>
      <c r="B1127" s="1525"/>
      <c r="C1127" s="2020"/>
      <c r="D1127" s="2551"/>
      <c r="E1127" s="2552"/>
      <c r="F1127" s="2551"/>
      <c r="G1127" s="2552"/>
      <c r="H1127" s="377"/>
      <c r="I1127" s="377"/>
      <c r="J1127" s="377"/>
      <c r="K1127" s="377"/>
      <c r="L1127" s="377"/>
      <c r="M1127" s="377"/>
      <c r="N1127" s="377"/>
      <c r="O1127" s="377"/>
      <c r="P1127" s="377"/>
      <c r="Q1127" s="377"/>
      <c r="R1127" s="377"/>
      <c r="S1127" s="378"/>
      <c r="T1127" s="377"/>
      <c r="U1127" s="377"/>
      <c r="V1127" s="377"/>
      <c r="W1127" s="379"/>
      <c r="X1127" s="380"/>
      <c r="Y1127" s="381"/>
      <c r="Z1127" s="1524"/>
      <c r="AA1127" s="1524"/>
      <c r="AB1127" s="1116" t="s">
        <v>35</v>
      </c>
      <c r="AC1127" s="1116">
        <v>9</v>
      </c>
      <c r="AD1127" s="1116" t="s">
        <v>512</v>
      </c>
      <c r="AE1127" s="2476"/>
      <c r="AF1127" s="86"/>
      <c r="AG1127" s="86"/>
      <c r="AH1127" s="1116"/>
      <c r="AI1127" s="1116"/>
      <c r="AJ1127" s="1116"/>
      <c r="AK1127" s="652"/>
      <c r="AL1127" s="374"/>
      <c r="AM1127" s="89"/>
      <c r="AN1127" s="89"/>
      <c r="AO1127" s="89"/>
      <c r="AP1127" s="89"/>
      <c r="AQ1127" s="89"/>
      <c r="AR1127" s="89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  <c r="BM1127" s="58"/>
      <c r="BN1127" s="58"/>
      <c r="BO1127" s="58"/>
      <c r="BP1127" s="58"/>
      <c r="BQ1127" s="58"/>
      <c r="BR1127" s="58"/>
      <c r="BS1127" s="58"/>
      <c r="BT1127" s="58"/>
      <c r="BU1127" s="58"/>
      <c r="BV1127" s="58"/>
      <c r="BW1127" s="58"/>
      <c r="BX1127" s="58"/>
      <c r="BY1127" s="58"/>
      <c r="BZ1127" s="58"/>
      <c r="CA1127" s="58"/>
      <c r="CB1127" s="58"/>
      <c r="CC1127" s="58"/>
      <c r="CD1127" s="58"/>
      <c r="CE1127" s="58"/>
      <c r="CF1127" s="58"/>
      <c r="CG1127" s="58"/>
      <c r="CH1127" s="58"/>
    </row>
    <row r="1128" spans="1:86" s="59" customFormat="1" ht="21.75" customHeight="1" x14ac:dyDescent="0.2">
      <c r="A1128" s="1813">
        <v>15</v>
      </c>
      <c r="B1128" s="1690">
        <v>3404384</v>
      </c>
      <c r="C1128" s="2019" t="s">
        <v>89</v>
      </c>
      <c r="D1128" s="1705">
        <v>2.2999999999999998</v>
      </c>
      <c r="E1128" s="2015">
        <v>13800</v>
      </c>
      <c r="F1128" s="1705">
        <v>2.2999999999999998</v>
      </c>
      <c r="G1128" s="2015">
        <v>13800</v>
      </c>
      <c r="H1128" s="89"/>
      <c r="I1128" s="89"/>
      <c r="J1128" s="89"/>
      <c r="K1128" s="89"/>
      <c r="L1128" s="89"/>
      <c r="M1128" s="89"/>
      <c r="N1128" s="89"/>
      <c r="O1128" s="89"/>
      <c r="P1128" s="89"/>
      <c r="Q1128" s="89"/>
      <c r="R1128" s="89"/>
      <c r="S1128" s="209"/>
      <c r="T1128" s="89"/>
      <c r="U1128" s="89"/>
      <c r="V1128" s="89"/>
      <c r="W1128" s="375"/>
      <c r="X1128" s="89"/>
      <c r="Y1128" s="240"/>
      <c r="Z1128" s="88"/>
      <c r="AA1128" s="88"/>
      <c r="AB1128" s="88"/>
      <c r="AC1128" s="88"/>
      <c r="AD1128" s="88"/>
      <c r="AE1128" s="88"/>
      <c r="AF1128" s="174"/>
      <c r="AG1128" s="174"/>
      <c r="AH1128" s="174"/>
      <c r="AI1128" s="42"/>
      <c r="AJ1128" s="883"/>
      <c r="AK1128" s="503"/>
      <c r="AL1128" s="1237" t="s">
        <v>441</v>
      </c>
      <c r="AM1128" s="1237" t="s">
        <v>515</v>
      </c>
      <c r="AN1128" s="1237" t="s">
        <v>5</v>
      </c>
      <c r="AO1128" s="1176">
        <v>2.2999999999999998</v>
      </c>
      <c r="AP1128" s="890" t="s">
        <v>2</v>
      </c>
      <c r="AQ1128" s="2370">
        <v>36257.89</v>
      </c>
      <c r="AR1128" s="89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  <c r="BM1128" s="58"/>
      <c r="BN1128" s="58"/>
      <c r="BO1128" s="58"/>
      <c r="BP1128" s="58"/>
      <c r="BQ1128" s="58"/>
      <c r="BR1128" s="58"/>
      <c r="BS1128" s="58"/>
      <c r="BT1128" s="58"/>
      <c r="BU1128" s="58"/>
      <c r="BV1128" s="58"/>
      <c r="BW1128" s="58"/>
      <c r="BX1128" s="58"/>
      <c r="BY1128" s="58"/>
      <c r="BZ1128" s="58"/>
      <c r="CA1128" s="58"/>
      <c r="CB1128" s="58"/>
      <c r="CC1128" s="58"/>
      <c r="CD1128" s="58"/>
      <c r="CE1128" s="58"/>
      <c r="CF1128" s="58"/>
      <c r="CG1128" s="58"/>
      <c r="CH1128" s="58"/>
    </row>
    <row r="1129" spans="1:86" s="59" customFormat="1" ht="21.75" customHeight="1" x14ac:dyDescent="0.2">
      <c r="A1129" s="1813"/>
      <c r="B1129" s="1690"/>
      <c r="C1129" s="2019"/>
      <c r="D1129" s="1705"/>
      <c r="E1129" s="2015"/>
      <c r="F1129" s="1705"/>
      <c r="G1129" s="2015"/>
      <c r="H1129" s="89"/>
      <c r="I1129" s="89"/>
      <c r="J1129" s="89"/>
      <c r="K1129" s="89"/>
      <c r="L1129" s="89"/>
      <c r="M1129" s="89"/>
      <c r="N1129" s="89"/>
      <c r="O1129" s="89"/>
      <c r="P1129" s="89"/>
      <c r="Q1129" s="89"/>
      <c r="R1129" s="89"/>
      <c r="S1129" s="209"/>
      <c r="T1129" s="89"/>
      <c r="U1129" s="89"/>
      <c r="V1129" s="89"/>
      <c r="W1129" s="87"/>
      <c r="X1129" s="88"/>
      <c r="Y1129" s="240"/>
      <c r="Z1129" s="88"/>
      <c r="AA1129" s="88"/>
      <c r="AB1129" s="88"/>
      <c r="AC1129" s="88"/>
      <c r="AD1129" s="88"/>
      <c r="AE1129" s="88"/>
      <c r="AF1129" s="174"/>
      <c r="AG1129" s="174"/>
      <c r="AH1129" s="174"/>
      <c r="AI1129" s="883"/>
      <c r="AJ1129" s="883"/>
      <c r="AK1129" s="503"/>
      <c r="AL1129" s="1261"/>
      <c r="AM1129" s="1261"/>
      <c r="AN1129" s="1268"/>
      <c r="AO1129" s="883">
        <v>13800</v>
      </c>
      <c r="AP1129" s="883" t="s">
        <v>4</v>
      </c>
      <c r="AQ1129" s="1511"/>
      <c r="AR1129" s="89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  <c r="BM1129" s="58"/>
      <c r="BN1129" s="58"/>
      <c r="BO1129" s="58"/>
      <c r="BP1129" s="58"/>
      <c r="BQ1129" s="58"/>
      <c r="BR1129" s="58"/>
      <c r="BS1129" s="58"/>
      <c r="BT1129" s="58"/>
      <c r="BU1129" s="58"/>
      <c r="BV1129" s="58"/>
      <c r="BW1129" s="58"/>
      <c r="BX1129" s="58"/>
      <c r="BY1129" s="58"/>
      <c r="BZ1129" s="58"/>
      <c r="CA1129" s="58"/>
      <c r="CB1129" s="58"/>
      <c r="CC1129" s="58"/>
      <c r="CD1129" s="58"/>
      <c r="CE1129" s="58"/>
      <c r="CF1129" s="58"/>
      <c r="CG1129" s="58"/>
      <c r="CH1129" s="58"/>
    </row>
    <row r="1130" spans="1:86" s="59" customFormat="1" ht="21.75" hidden="1" customHeight="1" x14ac:dyDescent="0.2">
      <c r="A1130" s="1174"/>
      <c r="B1130" s="1525"/>
      <c r="C1130" s="2020"/>
      <c r="D1130" s="2012"/>
      <c r="E1130" s="2016"/>
      <c r="F1130" s="2012"/>
      <c r="G1130" s="2016"/>
      <c r="H1130" s="89"/>
      <c r="I1130" s="89"/>
      <c r="J1130" s="89"/>
      <c r="K1130" s="89"/>
      <c r="L1130" s="89"/>
      <c r="M1130" s="89"/>
      <c r="N1130" s="89"/>
      <c r="O1130" s="89"/>
      <c r="P1130" s="89"/>
      <c r="Q1130" s="89"/>
      <c r="R1130" s="89"/>
      <c r="S1130" s="209"/>
      <c r="T1130" s="89"/>
      <c r="U1130" s="89"/>
      <c r="V1130" s="89"/>
      <c r="W1130" s="87"/>
      <c r="X1130" s="88"/>
      <c r="Y1130" s="240"/>
      <c r="Z1130" s="89"/>
      <c r="AA1130" s="89"/>
      <c r="AB1130" s="89"/>
      <c r="AC1130" s="89"/>
      <c r="AD1130" s="89"/>
      <c r="AE1130" s="89"/>
      <c r="AF1130" s="174"/>
      <c r="AG1130" s="174"/>
      <c r="AH1130" s="883"/>
      <c r="AI1130" s="883"/>
      <c r="AJ1130" s="883"/>
      <c r="AK1130" s="503"/>
      <c r="AL1130" s="1268"/>
      <c r="AM1130" s="1268"/>
      <c r="AN1130" s="883" t="s">
        <v>35</v>
      </c>
      <c r="AO1130" s="883">
        <v>20</v>
      </c>
      <c r="AP1130" s="883" t="s">
        <v>512</v>
      </c>
      <c r="AQ1130" s="1512"/>
      <c r="AR1130" s="89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  <c r="BM1130" s="58"/>
      <c r="BN1130" s="58"/>
      <c r="BO1130" s="58"/>
      <c r="BP1130" s="58"/>
      <c r="BQ1130" s="58"/>
      <c r="BR1130" s="58"/>
      <c r="BS1130" s="58"/>
      <c r="BT1130" s="58"/>
      <c r="BU1130" s="58"/>
      <c r="BV1130" s="58"/>
      <c r="BW1130" s="58"/>
      <c r="BX1130" s="58"/>
      <c r="BY1130" s="58"/>
      <c r="BZ1130" s="58"/>
      <c r="CA1130" s="58"/>
      <c r="CB1130" s="58"/>
      <c r="CC1130" s="58"/>
      <c r="CD1130" s="58"/>
      <c r="CE1130" s="58"/>
      <c r="CF1130" s="58"/>
      <c r="CG1130" s="58"/>
      <c r="CH1130" s="58"/>
    </row>
    <row r="1131" spans="1:86" s="495" customFormat="1" ht="21.75" hidden="1" customHeight="1" x14ac:dyDescent="0.2">
      <c r="A1131" s="1549"/>
      <c r="B1131" s="2553">
        <v>3404379</v>
      </c>
      <c r="C1131" s="2554" t="s">
        <v>582</v>
      </c>
      <c r="D1131" s="2555">
        <v>1.0680000000000001</v>
      </c>
      <c r="E1131" s="2556">
        <v>4815</v>
      </c>
      <c r="F1131" s="2555">
        <v>1.0680000000000001</v>
      </c>
      <c r="G1131" s="2556">
        <v>4815</v>
      </c>
      <c r="H1131" s="89"/>
      <c r="I1131" s="89"/>
      <c r="J1131" s="89"/>
      <c r="K1131" s="89"/>
      <c r="L1131" s="89"/>
      <c r="M1131" s="89"/>
      <c r="N1131" s="89"/>
      <c r="O1131" s="89"/>
      <c r="P1131" s="89"/>
      <c r="Q1131" s="89"/>
      <c r="R1131" s="89"/>
      <c r="S1131" s="209"/>
      <c r="T1131" s="89"/>
      <c r="U1131" s="89"/>
      <c r="V1131" s="89"/>
      <c r="W1131" s="87"/>
      <c r="X1131" s="88"/>
      <c r="Y1131" s="240"/>
      <c r="Z1131" s="89"/>
      <c r="AA1131" s="89"/>
      <c r="AB1131" s="89"/>
      <c r="AC1131" s="89"/>
      <c r="AD1131" s="89"/>
      <c r="AE1131" s="89"/>
      <c r="AF1131" s="1279" t="s">
        <v>516</v>
      </c>
      <c r="AG1131" s="1279" t="s">
        <v>558</v>
      </c>
      <c r="AH1131" s="1279" t="s">
        <v>5</v>
      </c>
      <c r="AI1131" s="42"/>
      <c r="AJ1131" s="883" t="s">
        <v>2</v>
      </c>
      <c r="AK1131" s="2557"/>
      <c r="AL1131" s="295"/>
      <c r="AM1131" s="89"/>
      <c r="AN1131" s="89"/>
      <c r="AO1131" s="89"/>
      <c r="AP1131" s="89"/>
      <c r="AQ1131" s="89"/>
      <c r="AR1131" s="89"/>
      <c r="AS1131" s="494"/>
      <c r="AT1131" s="494"/>
      <c r="AU1131" s="494"/>
      <c r="AV1131" s="494"/>
      <c r="AW1131" s="494"/>
      <c r="AX1131" s="494"/>
      <c r="AY1131" s="494"/>
      <c r="AZ1131" s="494"/>
      <c r="BA1131" s="494"/>
      <c r="BB1131" s="494"/>
      <c r="BC1131" s="494"/>
      <c r="BD1131" s="494"/>
      <c r="BE1131" s="494"/>
      <c r="BF1131" s="494"/>
      <c r="BG1131" s="494"/>
      <c r="BH1131" s="494"/>
      <c r="BI1131" s="494"/>
      <c r="BJ1131" s="494"/>
      <c r="BK1131" s="494"/>
      <c r="BL1131" s="494"/>
      <c r="BM1131" s="494"/>
      <c r="BN1131" s="494"/>
      <c r="BO1131" s="494"/>
      <c r="BP1131" s="494"/>
      <c r="BQ1131" s="494"/>
      <c r="BR1131" s="494"/>
      <c r="BS1131" s="494"/>
      <c r="BT1131" s="494"/>
      <c r="BU1131" s="494"/>
      <c r="BV1131" s="494"/>
      <c r="BW1131" s="494"/>
      <c r="BX1131" s="494"/>
      <c r="BY1131" s="494"/>
      <c r="BZ1131" s="494"/>
      <c r="CA1131" s="494"/>
      <c r="CB1131" s="494"/>
      <c r="CC1131" s="494"/>
      <c r="CD1131" s="494"/>
      <c r="CE1131" s="494"/>
      <c r="CF1131" s="494"/>
      <c r="CG1131" s="494"/>
      <c r="CH1131" s="494"/>
    </row>
    <row r="1132" spans="1:86" s="495" customFormat="1" ht="21.75" hidden="1" customHeight="1" x14ac:dyDescent="0.2">
      <c r="A1132" s="1509"/>
      <c r="B1132" s="2558"/>
      <c r="C1132" s="2559"/>
      <c r="D1132" s="2560"/>
      <c r="E1132" s="2561"/>
      <c r="F1132" s="2560"/>
      <c r="G1132" s="2561"/>
      <c r="H1132" s="89"/>
      <c r="I1132" s="89"/>
      <c r="J1132" s="89"/>
      <c r="K1132" s="89"/>
      <c r="L1132" s="89"/>
      <c r="M1132" s="89"/>
      <c r="N1132" s="89"/>
      <c r="O1132" s="89"/>
      <c r="P1132" s="89"/>
      <c r="Q1132" s="89"/>
      <c r="R1132" s="89"/>
      <c r="S1132" s="209"/>
      <c r="T1132" s="89"/>
      <c r="U1132" s="89"/>
      <c r="V1132" s="89"/>
      <c r="W1132" s="87"/>
      <c r="X1132" s="88"/>
      <c r="Y1132" s="240"/>
      <c r="Z1132" s="89"/>
      <c r="AA1132" s="89"/>
      <c r="AB1132" s="89"/>
      <c r="AC1132" s="89"/>
      <c r="AD1132" s="89"/>
      <c r="AE1132" s="89"/>
      <c r="AF1132" s="1261"/>
      <c r="AG1132" s="1261"/>
      <c r="AH1132" s="1268"/>
      <c r="AI1132" s="883"/>
      <c r="AJ1132" s="883" t="s">
        <v>4</v>
      </c>
      <c r="AK1132" s="2562"/>
      <c r="AL1132" s="89"/>
      <c r="AM1132" s="89"/>
      <c r="AN1132" s="89"/>
      <c r="AO1132" s="89"/>
      <c r="AP1132" s="89"/>
      <c r="AQ1132" s="89"/>
      <c r="AR1132" s="89"/>
      <c r="AS1132" s="494"/>
      <c r="AT1132" s="494"/>
      <c r="AU1132" s="494"/>
      <c r="AV1132" s="494"/>
      <c r="AW1132" s="494"/>
      <c r="AX1132" s="494"/>
      <c r="AY1132" s="494"/>
      <c r="AZ1132" s="494"/>
      <c r="BA1132" s="494"/>
      <c r="BB1132" s="494"/>
      <c r="BC1132" s="494"/>
      <c r="BD1132" s="494"/>
      <c r="BE1132" s="494"/>
      <c r="BF1132" s="494"/>
      <c r="BG1132" s="494"/>
      <c r="BH1132" s="494"/>
      <c r="BI1132" s="494"/>
      <c r="BJ1132" s="494"/>
      <c r="BK1132" s="494"/>
      <c r="BL1132" s="494"/>
      <c r="BM1132" s="494"/>
      <c r="BN1132" s="494"/>
      <c r="BO1132" s="494"/>
      <c r="BP1132" s="494"/>
      <c r="BQ1132" s="494"/>
      <c r="BR1132" s="494"/>
      <c r="BS1132" s="494"/>
      <c r="BT1132" s="494"/>
      <c r="BU1132" s="494"/>
      <c r="BV1132" s="494"/>
      <c r="BW1132" s="494"/>
      <c r="BX1132" s="494"/>
      <c r="BY1132" s="494"/>
      <c r="BZ1132" s="494"/>
      <c r="CA1132" s="494"/>
      <c r="CB1132" s="494"/>
      <c r="CC1132" s="494"/>
      <c r="CD1132" s="494"/>
      <c r="CE1132" s="494"/>
      <c r="CF1132" s="494"/>
      <c r="CG1132" s="494"/>
      <c r="CH1132" s="494"/>
    </row>
    <row r="1133" spans="1:86" s="59" customFormat="1" ht="14.1" hidden="1" customHeight="1" x14ac:dyDescent="0.2">
      <c r="A1133" s="1174"/>
      <c r="B1133" s="1457"/>
      <c r="C1133" s="1840"/>
      <c r="D1133" s="2563"/>
      <c r="E1133" s="2564"/>
      <c r="F1133" s="2563"/>
      <c r="G1133" s="2564"/>
      <c r="H1133" s="89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209"/>
      <c r="T1133" s="89"/>
      <c r="U1133" s="89"/>
      <c r="V1133" s="89"/>
      <c r="W1133" s="87"/>
      <c r="X1133" s="88"/>
      <c r="Y1133" s="240"/>
      <c r="Z1133" s="89"/>
      <c r="AA1133" s="89"/>
      <c r="AB1133" s="89"/>
      <c r="AC1133" s="89"/>
      <c r="AD1133" s="89"/>
      <c r="AE1133" s="89"/>
      <c r="AF1133" s="1268"/>
      <c r="AG1133" s="1268"/>
      <c r="AH1133" s="883" t="s">
        <v>35</v>
      </c>
      <c r="AI1133" s="883">
        <v>5</v>
      </c>
      <c r="AJ1133" s="883" t="s">
        <v>512</v>
      </c>
      <c r="AK1133" s="2565"/>
      <c r="AL1133" s="89"/>
      <c r="AM1133" s="89"/>
      <c r="AN1133" s="89"/>
      <c r="AO1133" s="89"/>
      <c r="AP1133" s="89"/>
      <c r="AQ1133" s="89"/>
      <c r="AR1133" s="89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  <c r="BM1133" s="58"/>
      <c r="BN1133" s="58"/>
      <c r="BO1133" s="58"/>
      <c r="BP1133" s="58"/>
      <c r="BQ1133" s="58"/>
      <c r="BR1133" s="58"/>
      <c r="BS1133" s="58"/>
      <c r="BT1133" s="58"/>
      <c r="BU1133" s="58"/>
      <c r="BV1133" s="58"/>
      <c r="BW1133" s="58"/>
      <c r="BX1133" s="58"/>
      <c r="BY1133" s="58"/>
      <c r="BZ1133" s="58"/>
      <c r="CA1133" s="58"/>
      <c r="CB1133" s="58"/>
      <c r="CC1133" s="58"/>
      <c r="CD1133" s="58"/>
      <c r="CE1133" s="58"/>
      <c r="CF1133" s="58"/>
      <c r="CG1133" s="58"/>
      <c r="CH1133" s="58"/>
    </row>
    <row r="1134" spans="1:86" s="59" customFormat="1" ht="21.75" customHeight="1" x14ac:dyDescent="0.2">
      <c r="A1134" s="1549">
        <v>16</v>
      </c>
      <c r="B1134" s="1355">
        <v>2244194</v>
      </c>
      <c r="C1134" s="1343" t="s">
        <v>90</v>
      </c>
      <c r="D1134" s="1472">
        <v>1.04</v>
      </c>
      <c r="E1134" s="1470">
        <v>6340</v>
      </c>
      <c r="F1134" s="1472">
        <v>1.04</v>
      </c>
      <c r="G1134" s="1470">
        <v>6340</v>
      </c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209"/>
      <c r="T1134" s="89"/>
      <c r="U1134" s="89"/>
      <c r="V1134" s="89"/>
      <c r="W1134" s="87"/>
      <c r="X1134" s="88"/>
      <c r="Y1134" s="240"/>
      <c r="Z1134" s="1355" t="s">
        <v>441</v>
      </c>
      <c r="AA1134" s="1355" t="s">
        <v>559</v>
      </c>
      <c r="AB1134" s="1526" t="s">
        <v>5</v>
      </c>
      <c r="AC1134" s="985">
        <v>1.04</v>
      </c>
      <c r="AD1134" s="1168" t="s">
        <v>2</v>
      </c>
      <c r="AE1134" s="1510">
        <v>16162.651229999999</v>
      </c>
      <c r="AF1134" s="214"/>
      <c r="AG1134" s="214"/>
      <c r="AH1134" s="428"/>
      <c r="AI1134" s="975"/>
      <c r="AJ1134" s="1162"/>
      <c r="AK1134" s="503"/>
      <c r="AL1134" s="246"/>
      <c r="AM1134" s="88"/>
      <c r="AN1134" s="88"/>
      <c r="AO1134" s="88"/>
      <c r="AP1134" s="88"/>
      <c r="AQ1134" s="88"/>
      <c r="AR1134" s="89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  <c r="BM1134" s="58"/>
      <c r="BN1134" s="58"/>
      <c r="BO1134" s="58"/>
      <c r="BP1134" s="58"/>
      <c r="BQ1134" s="58"/>
      <c r="BR1134" s="58"/>
      <c r="BS1134" s="58"/>
      <c r="BT1134" s="58"/>
      <c r="BU1134" s="58"/>
      <c r="BV1134" s="58"/>
      <c r="BW1134" s="58"/>
      <c r="BX1134" s="58"/>
      <c r="BY1134" s="58"/>
      <c r="BZ1134" s="58"/>
      <c r="CA1134" s="58"/>
      <c r="CB1134" s="58"/>
      <c r="CC1134" s="58"/>
      <c r="CD1134" s="58"/>
      <c r="CE1134" s="58"/>
      <c r="CF1134" s="58"/>
      <c r="CG1134" s="58"/>
      <c r="CH1134" s="58"/>
    </row>
    <row r="1135" spans="1:86" s="59" customFormat="1" ht="21.75" customHeight="1" x14ac:dyDescent="0.2">
      <c r="A1135" s="1509"/>
      <c r="B1135" s="1507"/>
      <c r="C1135" s="1699"/>
      <c r="D1135" s="1543"/>
      <c r="E1135" s="1557"/>
      <c r="F1135" s="1543"/>
      <c r="G1135" s="1557"/>
      <c r="H1135" s="89"/>
      <c r="I1135" s="89"/>
      <c r="J1135" s="89"/>
      <c r="K1135" s="89"/>
      <c r="L1135" s="89"/>
      <c r="M1135" s="89"/>
      <c r="N1135" s="89"/>
      <c r="O1135" s="89"/>
      <c r="P1135" s="89"/>
      <c r="Q1135" s="89"/>
      <c r="R1135" s="89"/>
      <c r="S1135" s="209"/>
      <c r="T1135" s="89"/>
      <c r="U1135" s="89"/>
      <c r="V1135" s="89"/>
      <c r="W1135" s="87"/>
      <c r="X1135" s="88"/>
      <c r="Y1135" s="240"/>
      <c r="Z1135" s="1507"/>
      <c r="AA1135" s="1507"/>
      <c r="AB1135" s="1527"/>
      <c r="AC1135" s="987">
        <v>6340</v>
      </c>
      <c r="AD1135" s="1162" t="s">
        <v>3</v>
      </c>
      <c r="AE1135" s="1511"/>
      <c r="AF1135" s="214"/>
      <c r="AG1135" s="214"/>
      <c r="AH1135" s="428"/>
      <c r="AI1135" s="1139"/>
      <c r="AJ1135" s="1162"/>
      <c r="AK1135" s="503"/>
      <c r="AL1135" s="88"/>
      <c r="AM1135" s="88"/>
      <c r="AN1135" s="88"/>
      <c r="AO1135" s="88"/>
      <c r="AP1135" s="88"/>
      <c r="AQ1135" s="88"/>
      <c r="AR1135" s="89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  <c r="BM1135" s="58"/>
      <c r="BN1135" s="58"/>
      <c r="BO1135" s="58"/>
      <c r="BP1135" s="58"/>
      <c r="BQ1135" s="58"/>
      <c r="BR1135" s="58"/>
      <c r="BS1135" s="58"/>
      <c r="BT1135" s="58"/>
      <c r="BU1135" s="58"/>
      <c r="BV1135" s="58"/>
      <c r="BW1135" s="58"/>
      <c r="BX1135" s="58"/>
      <c r="BY1135" s="58"/>
      <c r="BZ1135" s="58"/>
      <c r="CA1135" s="58"/>
      <c r="CB1135" s="58"/>
      <c r="CC1135" s="58"/>
      <c r="CD1135" s="58"/>
      <c r="CE1135" s="58"/>
      <c r="CF1135" s="58"/>
      <c r="CG1135" s="58"/>
      <c r="CH1135" s="58"/>
    </row>
    <row r="1136" spans="1:86" s="59" customFormat="1" ht="25.7" hidden="1" customHeight="1" x14ac:dyDescent="0.2">
      <c r="A1136" s="1174"/>
      <c r="B1136" s="1356"/>
      <c r="C1136" s="1273"/>
      <c r="D1136" s="1473"/>
      <c r="E1136" s="1471"/>
      <c r="F1136" s="1473"/>
      <c r="G1136" s="1471"/>
      <c r="H1136" s="89"/>
      <c r="I1136" s="89"/>
      <c r="J1136" s="89"/>
      <c r="K1136" s="89"/>
      <c r="L1136" s="89"/>
      <c r="M1136" s="89"/>
      <c r="N1136" s="89"/>
      <c r="O1136" s="89"/>
      <c r="P1136" s="89"/>
      <c r="Q1136" s="89"/>
      <c r="R1136" s="89"/>
      <c r="S1136" s="209"/>
      <c r="T1136" s="89"/>
      <c r="U1136" s="89"/>
      <c r="V1136" s="89"/>
      <c r="W1136" s="87"/>
      <c r="X1136" s="88"/>
      <c r="Y1136" s="240"/>
      <c r="Z1136" s="1356"/>
      <c r="AA1136" s="1356"/>
      <c r="AB1136" s="258" t="s">
        <v>35</v>
      </c>
      <c r="AC1136" s="1168">
        <v>4</v>
      </c>
      <c r="AD1136" s="1162" t="s">
        <v>8</v>
      </c>
      <c r="AE1136" s="1512"/>
      <c r="AF1136" s="214"/>
      <c r="AG1136" s="214"/>
      <c r="AH1136" s="258"/>
      <c r="AI1136" s="1162"/>
      <c r="AJ1136" s="1162"/>
      <c r="AK1136" s="503"/>
      <c r="AL1136" s="88"/>
      <c r="AM1136" s="88"/>
      <c r="AN1136" s="88"/>
      <c r="AO1136" s="88"/>
      <c r="AP1136" s="88"/>
      <c r="AQ1136" s="88"/>
      <c r="AR1136" s="89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  <c r="BM1136" s="58"/>
      <c r="BN1136" s="58"/>
      <c r="BO1136" s="58"/>
      <c r="BP1136" s="58"/>
      <c r="BQ1136" s="58"/>
      <c r="BR1136" s="58"/>
      <c r="BS1136" s="58"/>
      <c r="BT1136" s="58"/>
      <c r="BU1136" s="58"/>
      <c r="BV1136" s="58"/>
      <c r="BW1136" s="58"/>
      <c r="BX1136" s="58"/>
      <c r="BY1136" s="58"/>
      <c r="BZ1136" s="58"/>
      <c r="CA1136" s="58"/>
      <c r="CB1136" s="58"/>
      <c r="CC1136" s="58"/>
      <c r="CD1136" s="58"/>
      <c r="CE1136" s="58"/>
      <c r="CF1136" s="58"/>
      <c r="CG1136" s="58"/>
      <c r="CH1136" s="58"/>
    </row>
    <row r="1137" spans="1:86" s="59" customFormat="1" ht="27" hidden="1" customHeight="1" x14ac:dyDescent="0.2">
      <c r="A1137" s="1549">
        <v>16</v>
      </c>
      <c r="B1137" s="1355">
        <v>2246818</v>
      </c>
      <c r="C1137" s="1343" t="s">
        <v>94</v>
      </c>
      <c r="D1137" s="1472">
        <v>0.61</v>
      </c>
      <c r="E1137" s="1470">
        <f>D1137*7837</f>
        <v>4780.57</v>
      </c>
      <c r="F1137" s="1472">
        <v>0.61</v>
      </c>
      <c r="G1137" s="1470">
        <f>F1137*7837</f>
        <v>4780.57</v>
      </c>
      <c r="H1137" s="89"/>
      <c r="I1137" s="89"/>
      <c r="J1137" s="89"/>
      <c r="K1137" s="89"/>
      <c r="L1137" s="89"/>
      <c r="M1137" s="89"/>
      <c r="N1137" s="89"/>
      <c r="O1137" s="89"/>
      <c r="P1137" s="89"/>
      <c r="Q1137" s="89"/>
      <c r="R1137" s="89"/>
      <c r="S1137" s="209"/>
      <c r="T1137" s="89"/>
      <c r="U1137" s="89"/>
      <c r="V1137" s="89"/>
      <c r="W1137" s="87"/>
      <c r="X1137" s="88"/>
      <c r="Y1137" s="240"/>
      <c r="Z1137" s="89"/>
      <c r="AA1137" s="89"/>
      <c r="AB1137" s="89"/>
      <c r="AC1137" s="89"/>
      <c r="AD1137" s="89"/>
      <c r="AE1137" s="89"/>
      <c r="AF1137" s="1355" t="s">
        <v>517</v>
      </c>
      <c r="AG1137" s="1355" t="s">
        <v>518</v>
      </c>
      <c r="AH1137" s="1526" t="s">
        <v>5</v>
      </c>
      <c r="AI1137" s="975"/>
      <c r="AJ1137" s="1162" t="s">
        <v>2</v>
      </c>
      <c r="AK1137" s="1510">
        <f>AI1137*8000</f>
        <v>0</v>
      </c>
      <c r="AL1137" s="246"/>
      <c r="AM1137" s="88"/>
      <c r="AN1137" s="88"/>
      <c r="AO1137" s="88"/>
      <c r="AP1137" s="88"/>
      <c r="AQ1137" s="88"/>
      <c r="AR1137" s="89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  <c r="BM1137" s="58"/>
      <c r="BN1137" s="58"/>
      <c r="BO1137" s="58"/>
      <c r="BP1137" s="58"/>
      <c r="BQ1137" s="58"/>
      <c r="BR1137" s="58"/>
      <c r="BS1137" s="58"/>
      <c r="BT1137" s="58"/>
      <c r="BU1137" s="58"/>
      <c r="BV1137" s="58"/>
      <c r="BW1137" s="58"/>
      <c r="BX1137" s="58"/>
      <c r="BY1137" s="58"/>
      <c r="BZ1137" s="58"/>
      <c r="CA1137" s="58"/>
      <c r="CB1137" s="58"/>
      <c r="CC1137" s="58"/>
      <c r="CD1137" s="58"/>
      <c r="CE1137" s="58"/>
      <c r="CF1137" s="58"/>
      <c r="CG1137" s="58"/>
      <c r="CH1137" s="58"/>
    </row>
    <row r="1138" spans="1:86" s="59" customFormat="1" ht="21.75" hidden="1" customHeight="1" x14ac:dyDescent="0.2">
      <c r="A1138" s="1509"/>
      <c r="B1138" s="1507"/>
      <c r="C1138" s="1699"/>
      <c r="D1138" s="1543"/>
      <c r="E1138" s="1557"/>
      <c r="F1138" s="1543"/>
      <c r="G1138" s="1557"/>
      <c r="H1138" s="89"/>
      <c r="I1138" s="89"/>
      <c r="J1138" s="89"/>
      <c r="K1138" s="89"/>
      <c r="L1138" s="89"/>
      <c r="M1138" s="89"/>
      <c r="N1138" s="89"/>
      <c r="O1138" s="89"/>
      <c r="P1138" s="89"/>
      <c r="Q1138" s="89"/>
      <c r="R1138" s="89"/>
      <c r="S1138" s="209"/>
      <c r="T1138" s="89"/>
      <c r="U1138" s="89"/>
      <c r="V1138" s="89"/>
      <c r="W1138" s="87"/>
      <c r="X1138" s="88"/>
      <c r="Y1138" s="240"/>
      <c r="Z1138" s="89"/>
      <c r="AA1138" s="89"/>
      <c r="AB1138" s="89"/>
      <c r="AC1138" s="89"/>
      <c r="AD1138" s="89"/>
      <c r="AE1138" s="89"/>
      <c r="AF1138" s="1507"/>
      <c r="AG1138" s="1507"/>
      <c r="AH1138" s="1527"/>
      <c r="AI1138" s="1162">
        <f>AI1137*7837</f>
        <v>0</v>
      </c>
      <c r="AJ1138" s="1162" t="s">
        <v>519</v>
      </c>
      <c r="AK1138" s="1511"/>
      <c r="AL1138" s="88"/>
      <c r="AM1138" s="88"/>
      <c r="AN1138" s="88"/>
      <c r="AO1138" s="88"/>
      <c r="AP1138" s="88"/>
      <c r="AQ1138" s="88"/>
      <c r="AR1138" s="89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  <c r="BM1138" s="58"/>
      <c r="BN1138" s="58"/>
      <c r="BO1138" s="58"/>
      <c r="BP1138" s="58"/>
      <c r="BQ1138" s="58"/>
      <c r="BR1138" s="58"/>
      <c r="BS1138" s="58"/>
      <c r="BT1138" s="58"/>
      <c r="BU1138" s="58"/>
      <c r="BV1138" s="58"/>
      <c r="BW1138" s="58"/>
      <c r="BX1138" s="58"/>
      <c r="BY1138" s="58"/>
      <c r="BZ1138" s="58"/>
      <c r="CA1138" s="58"/>
      <c r="CB1138" s="58"/>
      <c r="CC1138" s="58"/>
      <c r="CD1138" s="58"/>
      <c r="CE1138" s="58"/>
      <c r="CF1138" s="58"/>
      <c r="CG1138" s="58"/>
      <c r="CH1138" s="58"/>
    </row>
    <row r="1139" spans="1:86" s="59" customFormat="1" ht="28.35" hidden="1" customHeight="1" x14ac:dyDescent="0.2">
      <c r="A1139" s="1174"/>
      <c r="B1139" s="1356"/>
      <c r="C1139" s="1273"/>
      <c r="D1139" s="1473"/>
      <c r="E1139" s="1471"/>
      <c r="F1139" s="1473"/>
      <c r="G1139" s="1471"/>
      <c r="H1139" s="89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209"/>
      <c r="T1139" s="89"/>
      <c r="U1139" s="89"/>
      <c r="V1139" s="89"/>
      <c r="W1139" s="87"/>
      <c r="X1139" s="88"/>
      <c r="Y1139" s="240"/>
      <c r="Z1139" s="89"/>
      <c r="AA1139" s="89"/>
      <c r="AB1139" s="89"/>
      <c r="AC1139" s="89"/>
      <c r="AD1139" s="89"/>
      <c r="AE1139" s="89"/>
      <c r="AF1139" s="1356"/>
      <c r="AG1139" s="1356"/>
      <c r="AH1139" s="258" t="s">
        <v>35</v>
      </c>
      <c r="AI1139" s="1162">
        <v>4</v>
      </c>
      <c r="AJ1139" s="1162" t="s">
        <v>8</v>
      </c>
      <c r="AK1139" s="1512"/>
      <c r="AL1139" s="88"/>
      <c r="AM1139" s="88"/>
      <c r="AN1139" s="88"/>
      <c r="AO1139" s="88"/>
      <c r="AP1139" s="88"/>
      <c r="AQ1139" s="88"/>
      <c r="AR1139" s="89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  <c r="BM1139" s="58"/>
      <c r="BN1139" s="58"/>
      <c r="BO1139" s="58"/>
      <c r="BP1139" s="58"/>
      <c r="BQ1139" s="58"/>
      <c r="BR1139" s="58"/>
      <c r="BS1139" s="58"/>
      <c r="BT1139" s="58"/>
      <c r="BU1139" s="58"/>
      <c r="BV1139" s="58"/>
      <c r="BW1139" s="58"/>
      <c r="BX1139" s="58"/>
      <c r="BY1139" s="58"/>
      <c r="BZ1139" s="58"/>
      <c r="CA1139" s="58"/>
      <c r="CB1139" s="58"/>
      <c r="CC1139" s="58"/>
      <c r="CD1139" s="58"/>
      <c r="CE1139" s="58"/>
      <c r="CF1139" s="58"/>
      <c r="CG1139" s="58"/>
      <c r="CH1139" s="58"/>
    </row>
    <row r="1140" spans="1:86" s="59" customFormat="1" ht="21.75" hidden="1" customHeight="1" x14ac:dyDescent="0.2">
      <c r="A1140" s="1549">
        <v>17</v>
      </c>
      <c r="B1140" s="1355">
        <v>2245228</v>
      </c>
      <c r="C1140" s="1343" t="s">
        <v>95</v>
      </c>
      <c r="D1140" s="1472">
        <v>1</v>
      </c>
      <c r="E1140" s="1470">
        <v>5357</v>
      </c>
      <c r="F1140" s="1472">
        <v>1</v>
      </c>
      <c r="G1140" s="1470">
        <v>5357</v>
      </c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209"/>
      <c r="T1140" s="89"/>
      <c r="U1140" s="89"/>
      <c r="V1140" s="89"/>
      <c r="W1140" s="87"/>
      <c r="X1140" s="88"/>
      <c r="Y1140" s="240"/>
      <c r="Z1140" s="89"/>
      <c r="AA1140" s="89"/>
      <c r="AB1140" s="89"/>
      <c r="AC1140" s="89"/>
      <c r="AD1140" s="89"/>
      <c r="AE1140" s="89"/>
      <c r="AF1140" s="1355" t="s">
        <v>583</v>
      </c>
      <c r="AG1140" s="1355" t="s">
        <v>520</v>
      </c>
      <c r="AH1140" s="1526" t="s">
        <v>5</v>
      </c>
      <c r="AI1140" s="975"/>
      <c r="AJ1140" s="1162" t="s">
        <v>2</v>
      </c>
      <c r="AK1140" s="1510">
        <f>AI1140*8000</f>
        <v>0</v>
      </c>
      <c r="AL1140" s="246"/>
      <c r="AM1140" s="88"/>
      <c r="AN1140" s="88"/>
      <c r="AO1140" s="88"/>
      <c r="AP1140" s="88"/>
      <c r="AQ1140" s="88"/>
      <c r="AR1140" s="89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  <c r="BM1140" s="58"/>
      <c r="BN1140" s="58"/>
      <c r="BO1140" s="58"/>
      <c r="BP1140" s="58"/>
      <c r="BQ1140" s="58"/>
      <c r="BR1140" s="58"/>
      <c r="BS1140" s="58"/>
      <c r="BT1140" s="58"/>
      <c r="BU1140" s="58"/>
      <c r="BV1140" s="58"/>
      <c r="BW1140" s="58"/>
      <c r="BX1140" s="58"/>
      <c r="BY1140" s="58"/>
      <c r="BZ1140" s="58"/>
      <c r="CA1140" s="58"/>
      <c r="CB1140" s="58"/>
      <c r="CC1140" s="58"/>
      <c r="CD1140" s="58"/>
      <c r="CE1140" s="58"/>
      <c r="CF1140" s="58"/>
      <c r="CG1140" s="58"/>
      <c r="CH1140" s="58"/>
    </row>
    <row r="1141" spans="1:86" s="59" customFormat="1" ht="21.75" hidden="1" customHeight="1" x14ac:dyDescent="0.2">
      <c r="A1141" s="1509"/>
      <c r="B1141" s="1507"/>
      <c r="C1141" s="1699"/>
      <c r="D1141" s="1543"/>
      <c r="E1141" s="1557"/>
      <c r="F1141" s="1543"/>
      <c r="G1141" s="1557"/>
      <c r="H1141" s="89"/>
      <c r="I1141" s="89"/>
      <c r="J1141" s="89"/>
      <c r="K1141" s="89"/>
      <c r="L1141" s="89"/>
      <c r="M1141" s="89"/>
      <c r="N1141" s="89"/>
      <c r="O1141" s="89"/>
      <c r="P1141" s="89"/>
      <c r="Q1141" s="89"/>
      <c r="R1141" s="89"/>
      <c r="S1141" s="209"/>
      <c r="T1141" s="89"/>
      <c r="U1141" s="89"/>
      <c r="V1141" s="89"/>
      <c r="W1141" s="87"/>
      <c r="X1141" s="88"/>
      <c r="Y1141" s="240"/>
      <c r="Z1141" s="89"/>
      <c r="AA1141" s="89"/>
      <c r="AB1141" s="89"/>
      <c r="AC1141" s="89"/>
      <c r="AD1141" s="89"/>
      <c r="AE1141" s="89"/>
      <c r="AF1141" s="1507"/>
      <c r="AG1141" s="1507"/>
      <c r="AH1141" s="1527"/>
      <c r="AI1141" s="1162"/>
      <c r="AJ1141" s="1162" t="s">
        <v>519</v>
      </c>
      <c r="AK1141" s="1511"/>
      <c r="AL1141" s="88"/>
      <c r="AM1141" s="88"/>
      <c r="AN1141" s="88"/>
      <c r="AO1141" s="88"/>
      <c r="AP1141" s="88"/>
      <c r="AQ1141" s="88"/>
      <c r="AR1141" s="89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  <c r="BM1141" s="58"/>
      <c r="BN1141" s="58"/>
      <c r="BO1141" s="58"/>
      <c r="BP1141" s="58"/>
      <c r="BQ1141" s="58"/>
      <c r="BR1141" s="58"/>
      <c r="BS1141" s="58"/>
      <c r="BT1141" s="58"/>
      <c r="BU1141" s="58"/>
      <c r="BV1141" s="58"/>
      <c r="BW1141" s="58"/>
      <c r="BX1141" s="58"/>
      <c r="BY1141" s="58"/>
      <c r="BZ1141" s="58"/>
      <c r="CA1141" s="58"/>
      <c r="CB1141" s="58"/>
      <c r="CC1141" s="58"/>
      <c r="CD1141" s="58"/>
      <c r="CE1141" s="58"/>
      <c r="CF1141" s="58"/>
      <c r="CG1141" s="58"/>
      <c r="CH1141" s="58"/>
    </row>
    <row r="1142" spans="1:86" s="59" customFormat="1" ht="19.899999999999999" hidden="1" customHeight="1" x14ac:dyDescent="0.2">
      <c r="A1142" s="1174"/>
      <c r="B1142" s="1356"/>
      <c r="C1142" s="1273"/>
      <c r="D1142" s="1473"/>
      <c r="E1142" s="1471"/>
      <c r="F1142" s="1473"/>
      <c r="G1142" s="1471"/>
      <c r="H1142" s="89"/>
      <c r="I1142" s="89"/>
      <c r="J1142" s="89"/>
      <c r="K1142" s="89"/>
      <c r="L1142" s="89"/>
      <c r="M1142" s="89"/>
      <c r="N1142" s="89"/>
      <c r="O1142" s="89"/>
      <c r="P1142" s="89"/>
      <c r="Q1142" s="89"/>
      <c r="R1142" s="89"/>
      <c r="S1142" s="209"/>
      <c r="T1142" s="89"/>
      <c r="U1142" s="89"/>
      <c r="V1142" s="89"/>
      <c r="W1142" s="87"/>
      <c r="X1142" s="88"/>
      <c r="Y1142" s="240"/>
      <c r="Z1142" s="89"/>
      <c r="AA1142" s="89"/>
      <c r="AB1142" s="89"/>
      <c r="AC1142" s="89"/>
      <c r="AD1142" s="89"/>
      <c r="AE1142" s="89"/>
      <c r="AF1142" s="1356"/>
      <c r="AG1142" s="1356"/>
      <c r="AH1142" s="258" t="s">
        <v>35</v>
      </c>
      <c r="AI1142" s="1162">
        <v>2</v>
      </c>
      <c r="AJ1142" s="1162" t="s">
        <v>8</v>
      </c>
      <c r="AK1142" s="1512"/>
      <c r="AL1142" s="88"/>
      <c r="AM1142" s="88"/>
      <c r="AN1142" s="88"/>
      <c r="AO1142" s="88"/>
      <c r="AP1142" s="88"/>
      <c r="AQ1142" s="88"/>
      <c r="AR1142" s="89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  <c r="BM1142" s="58"/>
      <c r="BN1142" s="58"/>
      <c r="BO1142" s="58"/>
      <c r="BP1142" s="58"/>
      <c r="BQ1142" s="58"/>
      <c r="BR1142" s="58"/>
      <c r="BS1142" s="58"/>
      <c r="BT1142" s="58"/>
      <c r="BU1142" s="58"/>
      <c r="BV1142" s="58"/>
      <c r="BW1142" s="58"/>
      <c r="BX1142" s="58"/>
      <c r="BY1142" s="58"/>
      <c r="BZ1142" s="58"/>
      <c r="CA1142" s="58"/>
      <c r="CB1142" s="58"/>
      <c r="CC1142" s="58"/>
      <c r="CD1142" s="58"/>
      <c r="CE1142" s="58"/>
      <c r="CF1142" s="58"/>
      <c r="CG1142" s="58"/>
      <c r="CH1142" s="58"/>
    </row>
    <row r="1143" spans="1:86" s="59" customFormat="1" ht="21.75" hidden="1" customHeight="1" x14ac:dyDescent="0.2">
      <c r="A1143" s="1549">
        <v>18</v>
      </c>
      <c r="B1143" s="1355">
        <v>2241462</v>
      </c>
      <c r="C1143" s="1343" t="s">
        <v>96</v>
      </c>
      <c r="D1143" s="1472">
        <v>1.42</v>
      </c>
      <c r="E1143" s="1470">
        <v>5610</v>
      </c>
      <c r="F1143" s="1472">
        <v>1.42</v>
      </c>
      <c r="G1143" s="1470">
        <v>5610</v>
      </c>
      <c r="H1143" s="89"/>
      <c r="I1143" s="89"/>
      <c r="J1143" s="89"/>
      <c r="K1143" s="89"/>
      <c r="L1143" s="89"/>
      <c r="M1143" s="89"/>
      <c r="N1143" s="89"/>
      <c r="O1143" s="89"/>
      <c r="P1143" s="89"/>
      <c r="Q1143" s="89"/>
      <c r="R1143" s="89"/>
      <c r="S1143" s="209"/>
      <c r="T1143" s="89"/>
      <c r="U1143" s="89"/>
      <c r="V1143" s="89"/>
      <c r="W1143" s="87"/>
      <c r="X1143" s="88"/>
      <c r="Y1143" s="240"/>
      <c r="Z1143" s="89"/>
      <c r="AA1143" s="89"/>
      <c r="AB1143" s="89"/>
      <c r="AC1143" s="89"/>
      <c r="AD1143" s="89"/>
      <c r="AE1143" s="89"/>
      <c r="AF1143" s="1355" t="s">
        <v>521</v>
      </c>
      <c r="AG1143" s="1355" t="s">
        <v>522</v>
      </c>
      <c r="AH1143" s="1526" t="s">
        <v>5</v>
      </c>
      <c r="AI1143" s="878"/>
      <c r="AJ1143" s="1162" t="s">
        <v>2</v>
      </c>
      <c r="AK1143" s="1758">
        <f>AI1143*8000</f>
        <v>0</v>
      </c>
      <c r="AL1143" s="246"/>
      <c r="AM1143" s="88"/>
      <c r="AN1143" s="88"/>
      <c r="AO1143" s="88"/>
      <c r="AP1143" s="88"/>
      <c r="AQ1143" s="88"/>
      <c r="AR1143" s="89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  <c r="BM1143" s="58"/>
      <c r="BN1143" s="58"/>
      <c r="BO1143" s="58"/>
      <c r="BP1143" s="58"/>
      <c r="BQ1143" s="58"/>
      <c r="BR1143" s="58"/>
      <c r="BS1143" s="58"/>
      <c r="BT1143" s="58"/>
      <c r="BU1143" s="58"/>
      <c r="BV1143" s="58"/>
      <c r="BW1143" s="58"/>
      <c r="BX1143" s="58"/>
      <c r="BY1143" s="58"/>
      <c r="BZ1143" s="58"/>
      <c r="CA1143" s="58"/>
      <c r="CB1143" s="58"/>
      <c r="CC1143" s="58"/>
      <c r="CD1143" s="58"/>
      <c r="CE1143" s="58"/>
      <c r="CF1143" s="58"/>
      <c r="CG1143" s="58"/>
      <c r="CH1143" s="58"/>
    </row>
    <row r="1144" spans="1:86" s="59" customFormat="1" ht="21.75" hidden="1" customHeight="1" x14ac:dyDescent="0.2">
      <c r="A1144" s="1509"/>
      <c r="B1144" s="1356"/>
      <c r="C1144" s="1273"/>
      <c r="D1144" s="1473"/>
      <c r="E1144" s="1471"/>
      <c r="F1144" s="1473"/>
      <c r="G1144" s="1471"/>
      <c r="H1144" s="89"/>
      <c r="I1144" s="89"/>
      <c r="J1144" s="89"/>
      <c r="K1144" s="89"/>
      <c r="L1144" s="89"/>
      <c r="M1144" s="89"/>
      <c r="N1144" s="89"/>
      <c r="O1144" s="89"/>
      <c r="P1144" s="89"/>
      <c r="Q1144" s="89"/>
      <c r="R1144" s="89"/>
      <c r="S1144" s="209"/>
      <c r="T1144" s="89"/>
      <c r="U1144" s="89"/>
      <c r="V1144" s="89"/>
      <c r="W1144" s="87"/>
      <c r="X1144" s="88"/>
      <c r="Y1144" s="240"/>
      <c r="Z1144" s="89"/>
      <c r="AA1144" s="89"/>
      <c r="AB1144" s="89"/>
      <c r="AC1144" s="89"/>
      <c r="AD1144" s="89"/>
      <c r="AE1144" s="89"/>
      <c r="AF1144" s="1356"/>
      <c r="AG1144" s="1356"/>
      <c r="AH1144" s="1527"/>
      <c r="AI1144" s="1139">
        <f>AI1143*3951</f>
        <v>0</v>
      </c>
      <c r="AJ1144" s="1162" t="s">
        <v>3</v>
      </c>
      <c r="AK1144" s="1759"/>
      <c r="AL1144" s="88"/>
      <c r="AM1144" s="88"/>
      <c r="AN1144" s="88"/>
      <c r="AO1144" s="88"/>
      <c r="AP1144" s="88"/>
      <c r="AQ1144" s="88"/>
      <c r="AR1144" s="89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  <c r="BM1144" s="58"/>
      <c r="BN1144" s="58"/>
      <c r="BO1144" s="58"/>
      <c r="BP1144" s="58"/>
      <c r="BQ1144" s="58"/>
      <c r="BR1144" s="58"/>
      <c r="BS1144" s="58"/>
      <c r="BT1144" s="58"/>
      <c r="BU1144" s="58"/>
      <c r="BV1144" s="58"/>
      <c r="BW1144" s="58"/>
      <c r="BX1144" s="58"/>
      <c r="BY1144" s="58"/>
      <c r="BZ1144" s="58"/>
      <c r="CA1144" s="58"/>
      <c r="CB1144" s="58"/>
      <c r="CC1144" s="58"/>
      <c r="CD1144" s="58"/>
      <c r="CE1144" s="58"/>
      <c r="CF1144" s="58"/>
      <c r="CG1144" s="58"/>
      <c r="CH1144" s="58"/>
    </row>
    <row r="1145" spans="1:86" s="59" customFormat="1" ht="21.75" hidden="1" customHeight="1" x14ac:dyDescent="0.2">
      <c r="A1145" s="1549">
        <v>19</v>
      </c>
      <c r="B1145" s="1355">
        <v>2244859</v>
      </c>
      <c r="C1145" s="1343" t="s">
        <v>99</v>
      </c>
      <c r="D1145" s="1472">
        <v>0.7</v>
      </c>
      <c r="E1145" s="1470">
        <v>4200</v>
      </c>
      <c r="F1145" s="1472">
        <v>0.7</v>
      </c>
      <c r="G1145" s="1470">
        <v>4200</v>
      </c>
      <c r="H1145" s="89"/>
      <c r="I1145" s="89"/>
      <c r="J1145" s="89"/>
      <c r="K1145" s="89"/>
      <c r="L1145" s="89"/>
      <c r="M1145" s="89"/>
      <c r="N1145" s="89"/>
      <c r="O1145" s="89"/>
      <c r="P1145" s="89"/>
      <c r="Q1145" s="89"/>
      <c r="R1145" s="89"/>
      <c r="S1145" s="209"/>
      <c r="T1145" s="89"/>
      <c r="U1145" s="89"/>
      <c r="V1145" s="89"/>
      <c r="W1145" s="87"/>
      <c r="X1145" s="88"/>
      <c r="Y1145" s="240"/>
      <c r="Z1145" s="89"/>
      <c r="AA1145" s="89"/>
      <c r="AB1145" s="89"/>
      <c r="AC1145" s="89"/>
      <c r="AD1145" s="89"/>
      <c r="AE1145" s="89"/>
      <c r="AF1145" s="1500" t="s">
        <v>584</v>
      </c>
      <c r="AG1145" s="1279" t="s">
        <v>523</v>
      </c>
      <c r="AH1145" s="1279" t="s">
        <v>5</v>
      </c>
      <c r="AI1145" s="883"/>
      <c r="AJ1145" s="883" t="s">
        <v>2</v>
      </c>
      <c r="AK1145" s="1510">
        <f>AI1145*8000</f>
        <v>0</v>
      </c>
      <c r="AL1145" s="246"/>
      <c r="AM1145" s="88"/>
      <c r="AN1145" s="88"/>
      <c r="AO1145" s="88"/>
      <c r="AP1145" s="88"/>
      <c r="AQ1145" s="88"/>
      <c r="AR1145" s="89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  <c r="BM1145" s="58"/>
      <c r="BN1145" s="58"/>
      <c r="BO1145" s="58"/>
      <c r="BP1145" s="58"/>
      <c r="BQ1145" s="58"/>
      <c r="BR1145" s="58"/>
      <c r="BS1145" s="58"/>
      <c r="BT1145" s="58"/>
      <c r="BU1145" s="58"/>
      <c r="BV1145" s="58"/>
      <c r="BW1145" s="58"/>
      <c r="BX1145" s="58"/>
      <c r="BY1145" s="58"/>
      <c r="BZ1145" s="58"/>
      <c r="CA1145" s="58"/>
      <c r="CB1145" s="58"/>
      <c r="CC1145" s="58"/>
      <c r="CD1145" s="58"/>
      <c r="CE1145" s="58"/>
      <c r="CF1145" s="58"/>
      <c r="CG1145" s="58"/>
      <c r="CH1145" s="58"/>
    </row>
    <row r="1146" spans="1:86" s="59" customFormat="1" ht="21.75" hidden="1" customHeight="1" x14ac:dyDescent="0.2">
      <c r="A1146" s="1509"/>
      <c r="B1146" s="1507"/>
      <c r="C1146" s="1699"/>
      <c r="D1146" s="1543"/>
      <c r="E1146" s="1557"/>
      <c r="F1146" s="1543"/>
      <c r="G1146" s="1557"/>
      <c r="H1146" s="89"/>
      <c r="I1146" s="89"/>
      <c r="J1146" s="89"/>
      <c r="K1146" s="89"/>
      <c r="L1146" s="89"/>
      <c r="M1146" s="89"/>
      <c r="N1146" s="89"/>
      <c r="O1146" s="89"/>
      <c r="P1146" s="89"/>
      <c r="Q1146" s="89"/>
      <c r="R1146" s="89"/>
      <c r="S1146" s="209"/>
      <c r="T1146" s="89"/>
      <c r="U1146" s="89"/>
      <c r="V1146" s="89"/>
      <c r="W1146" s="87"/>
      <c r="X1146" s="88"/>
      <c r="Y1146" s="240"/>
      <c r="Z1146" s="89"/>
      <c r="AA1146" s="89"/>
      <c r="AB1146" s="89"/>
      <c r="AC1146" s="89"/>
      <c r="AD1146" s="89"/>
      <c r="AE1146" s="89"/>
      <c r="AF1146" s="1501"/>
      <c r="AG1146" s="1261"/>
      <c r="AH1146" s="1268"/>
      <c r="AI1146" s="883">
        <f>AI1145*6000</f>
        <v>0</v>
      </c>
      <c r="AJ1146" s="883" t="s">
        <v>524</v>
      </c>
      <c r="AK1146" s="1511"/>
      <c r="AL1146" s="88"/>
      <c r="AM1146" s="88"/>
      <c r="AN1146" s="88"/>
      <c r="AO1146" s="88"/>
      <c r="AP1146" s="88"/>
      <c r="AQ1146" s="88"/>
      <c r="AR1146" s="89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  <c r="BM1146" s="58"/>
      <c r="BN1146" s="58"/>
      <c r="BO1146" s="58"/>
      <c r="BP1146" s="58"/>
      <c r="BQ1146" s="58"/>
      <c r="BR1146" s="58"/>
      <c r="BS1146" s="58"/>
      <c r="BT1146" s="58"/>
      <c r="BU1146" s="58"/>
      <c r="BV1146" s="58"/>
      <c r="BW1146" s="58"/>
      <c r="BX1146" s="58"/>
      <c r="BY1146" s="58"/>
      <c r="BZ1146" s="58"/>
      <c r="CA1146" s="58"/>
      <c r="CB1146" s="58"/>
      <c r="CC1146" s="58"/>
      <c r="CD1146" s="58"/>
      <c r="CE1146" s="58"/>
      <c r="CF1146" s="58"/>
      <c r="CG1146" s="58"/>
      <c r="CH1146" s="58"/>
    </row>
    <row r="1147" spans="1:86" s="59" customFormat="1" ht="28.9" hidden="1" customHeight="1" x14ac:dyDescent="0.2">
      <c r="A1147" s="1174"/>
      <c r="B1147" s="1356"/>
      <c r="C1147" s="1273"/>
      <c r="D1147" s="1473"/>
      <c r="E1147" s="1471"/>
      <c r="F1147" s="1473"/>
      <c r="G1147" s="1471"/>
      <c r="H1147" s="89"/>
      <c r="I1147" s="89"/>
      <c r="J1147" s="89"/>
      <c r="K1147" s="89"/>
      <c r="L1147" s="89"/>
      <c r="M1147" s="89"/>
      <c r="N1147" s="89"/>
      <c r="O1147" s="89"/>
      <c r="P1147" s="89"/>
      <c r="Q1147" s="89"/>
      <c r="R1147" s="89"/>
      <c r="S1147" s="209"/>
      <c r="T1147" s="89"/>
      <c r="U1147" s="89"/>
      <c r="V1147" s="89"/>
      <c r="W1147" s="87"/>
      <c r="X1147" s="88"/>
      <c r="Y1147" s="240"/>
      <c r="Z1147" s="89"/>
      <c r="AA1147" s="89"/>
      <c r="AB1147" s="89"/>
      <c r="AC1147" s="89"/>
      <c r="AD1147" s="89"/>
      <c r="AE1147" s="89"/>
      <c r="AF1147" s="1502"/>
      <c r="AG1147" s="1268"/>
      <c r="AH1147" s="883" t="s">
        <v>35</v>
      </c>
      <c r="AI1147" s="883">
        <v>2</v>
      </c>
      <c r="AJ1147" s="883" t="s">
        <v>512</v>
      </c>
      <c r="AK1147" s="1512"/>
      <c r="AL1147" s="88"/>
      <c r="AM1147" s="88"/>
      <c r="AN1147" s="88"/>
      <c r="AO1147" s="88"/>
      <c r="AP1147" s="88"/>
      <c r="AQ1147" s="88"/>
      <c r="AR1147" s="89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  <c r="BM1147" s="58"/>
      <c r="BN1147" s="58"/>
      <c r="BO1147" s="58"/>
      <c r="BP1147" s="58"/>
      <c r="BQ1147" s="58"/>
      <c r="BR1147" s="58"/>
      <c r="BS1147" s="58"/>
      <c r="BT1147" s="58"/>
      <c r="BU1147" s="58"/>
      <c r="BV1147" s="58"/>
      <c r="BW1147" s="58"/>
      <c r="BX1147" s="58"/>
      <c r="BY1147" s="58"/>
      <c r="BZ1147" s="58"/>
      <c r="CA1147" s="58"/>
      <c r="CB1147" s="58"/>
      <c r="CC1147" s="58"/>
      <c r="CD1147" s="58"/>
      <c r="CE1147" s="58"/>
      <c r="CF1147" s="58"/>
      <c r="CG1147" s="58"/>
      <c r="CH1147" s="58"/>
    </row>
    <row r="1148" spans="1:86" s="59" customFormat="1" ht="28.9" hidden="1" customHeight="1" x14ac:dyDescent="0.2">
      <c r="A1148" s="1549">
        <v>20</v>
      </c>
      <c r="B1148" s="2010" t="s">
        <v>307</v>
      </c>
      <c r="C1148" s="1343" t="s">
        <v>586</v>
      </c>
      <c r="D1148" s="1472">
        <v>2.21</v>
      </c>
      <c r="E1148" s="1470">
        <f>D1148*6000</f>
        <v>13260</v>
      </c>
      <c r="F1148" s="1472">
        <v>2.21</v>
      </c>
      <c r="G1148" s="1470">
        <f>F1148*6000</f>
        <v>13260</v>
      </c>
      <c r="H1148" s="89"/>
      <c r="I1148" s="89"/>
      <c r="J1148" s="89"/>
      <c r="K1148" s="89"/>
      <c r="L1148" s="89"/>
      <c r="M1148" s="89"/>
      <c r="N1148" s="89"/>
      <c r="O1148" s="89"/>
      <c r="P1148" s="89"/>
      <c r="Q1148" s="89"/>
      <c r="R1148" s="89"/>
      <c r="S1148" s="209"/>
      <c r="T1148" s="89"/>
      <c r="U1148" s="89"/>
      <c r="V1148" s="89"/>
      <c r="W1148" s="87"/>
      <c r="X1148" s="88"/>
      <c r="Y1148" s="240"/>
      <c r="Z1148" s="89"/>
      <c r="AA1148" s="89"/>
      <c r="AB1148" s="89"/>
      <c r="AC1148" s="89"/>
      <c r="AD1148" s="89"/>
      <c r="AE1148" s="89"/>
      <c r="AF1148" s="1500" t="s">
        <v>587</v>
      </c>
      <c r="AG1148" s="1279" t="s">
        <v>588</v>
      </c>
      <c r="AH1148" s="1279" t="s">
        <v>5</v>
      </c>
      <c r="AI1148" s="883"/>
      <c r="AJ1148" s="883" t="s">
        <v>2</v>
      </c>
      <c r="AK1148" s="1510">
        <f>AI1148*8000</f>
        <v>0</v>
      </c>
      <c r="AL1148" s="246"/>
      <c r="AM1148" s="88"/>
      <c r="AN1148" s="88"/>
      <c r="AO1148" s="88"/>
      <c r="AP1148" s="88"/>
      <c r="AQ1148" s="88"/>
      <c r="AR1148" s="89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  <c r="BM1148" s="58"/>
      <c r="BN1148" s="58"/>
      <c r="BO1148" s="58"/>
      <c r="BP1148" s="58"/>
      <c r="BQ1148" s="58"/>
      <c r="BR1148" s="58"/>
      <c r="BS1148" s="58"/>
      <c r="BT1148" s="58"/>
      <c r="BU1148" s="58"/>
      <c r="BV1148" s="58"/>
      <c r="BW1148" s="58"/>
      <c r="BX1148" s="58"/>
      <c r="BY1148" s="58"/>
      <c r="BZ1148" s="58"/>
      <c r="CA1148" s="58"/>
      <c r="CB1148" s="58"/>
      <c r="CC1148" s="58"/>
      <c r="CD1148" s="58"/>
      <c r="CE1148" s="58"/>
      <c r="CF1148" s="58"/>
      <c r="CG1148" s="58"/>
      <c r="CH1148" s="58"/>
    </row>
    <row r="1149" spans="1:86" s="59" customFormat="1" ht="28.9" hidden="1" customHeight="1" x14ac:dyDescent="0.2">
      <c r="A1149" s="1509"/>
      <c r="B1149" s="2011"/>
      <c r="C1149" s="1699"/>
      <c r="D1149" s="1543"/>
      <c r="E1149" s="1557"/>
      <c r="F1149" s="1543"/>
      <c r="G1149" s="1557"/>
      <c r="H1149" s="89"/>
      <c r="I1149" s="89"/>
      <c r="J1149" s="89"/>
      <c r="K1149" s="89"/>
      <c r="L1149" s="89"/>
      <c r="M1149" s="89"/>
      <c r="N1149" s="89"/>
      <c r="O1149" s="89"/>
      <c r="P1149" s="89"/>
      <c r="Q1149" s="89"/>
      <c r="R1149" s="89"/>
      <c r="S1149" s="209"/>
      <c r="T1149" s="89"/>
      <c r="U1149" s="89"/>
      <c r="V1149" s="89"/>
      <c r="W1149" s="87"/>
      <c r="X1149" s="88"/>
      <c r="Y1149" s="240"/>
      <c r="Z1149" s="89"/>
      <c r="AA1149" s="89"/>
      <c r="AB1149" s="89"/>
      <c r="AC1149" s="89"/>
      <c r="AD1149" s="89"/>
      <c r="AE1149" s="89"/>
      <c r="AF1149" s="1501"/>
      <c r="AG1149" s="1261"/>
      <c r="AH1149" s="1268"/>
      <c r="AI1149" s="883">
        <f>AI1148*6000</f>
        <v>0</v>
      </c>
      <c r="AJ1149" s="883" t="s">
        <v>524</v>
      </c>
      <c r="AK1149" s="1511"/>
      <c r="AL1149" s="88"/>
      <c r="AM1149" s="88"/>
      <c r="AN1149" s="88"/>
      <c r="AO1149" s="88"/>
      <c r="AP1149" s="88"/>
      <c r="AQ1149" s="88"/>
      <c r="AR1149" s="89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  <c r="BM1149" s="58"/>
      <c r="BN1149" s="58"/>
      <c r="BO1149" s="58"/>
      <c r="BP1149" s="58"/>
      <c r="BQ1149" s="58"/>
      <c r="BR1149" s="58"/>
      <c r="BS1149" s="58"/>
      <c r="BT1149" s="58"/>
      <c r="BU1149" s="58"/>
      <c r="BV1149" s="58"/>
      <c r="BW1149" s="58"/>
      <c r="BX1149" s="58"/>
      <c r="BY1149" s="58"/>
      <c r="BZ1149" s="58"/>
      <c r="CA1149" s="58"/>
      <c r="CB1149" s="58"/>
      <c r="CC1149" s="58"/>
      <c r="CD1149" s="58"/>
      <c r="CE1149" s="58"/>
      <c r="CF1149" s="58"/>
      <c r="CG1149" s="58"/>
      <c r="CH1149" s="58"/>
    </row>
    <row r="1150" spans="1:86" s="59" customFormat="1" ht="21.75" hidden="1" customHeight="1" x14ac:dyDescent="0.2">
      <c r="A1150" s="1549">
        <v>21</v>
      </c>
      <c r="B1150" s="1355">
        <v>2239607</v>
      </c>
      <c r="C1150" s="1343" t="s">
        <v>100</v>
      </c>
      <c r="D1150" s="1472">
        <v>0.5</v>
      </c>
      <c r="E1150" s="1470">
        <v>2640</v>
      </c>
      <c r="F1150" s="1472">
        <v>0.5</v>
      </c>
      <c r="G1150" s="1470">
        <v>2640</v>
      </c>
      <c r="H1150" s="89"/>
      <c r="I1150" s="89"/>
      <c r="J1150" s="89"/>
      <c r="K1150" s="89"/>
      <c r="L1150" s="89"/>
      <c r="M1150" s="89"/>
      <c r="N1150" s="89"/>
      <c r="O1150" s="89"/>
      <c r="P1150" s="89"/>
      <c r="Q1150" s="89"/>
      <c r="R1150" s="89"/>
      <c r="S1150" s="209"/>
      <c r="T1150" s="89"/>
      <c r="U1150" s="89"/>
      <c r="V1150" s="89"/>
      <c r="W1150" s="87"/>
      <c r="X1150" s="88"/>
      <c r="Y1150" s="240"/>
      <c r="Z1150" s="89"/>
      <c r="AA1150" s="89"/>
      <c r="AB1150" s="89"/>
      <c r="AC1150" s="89"/>
      <c r="AD1150" s="89"/>
      <c r="AE1150" s="89"/>
      <c r="AF1150" s="1279" t="s">
        <v>525</v>
      </c>
      <c r="AG1150" s="1279" t="s">
        <v>1377</v>
      </c>
      <c r="AH1150" s="1279" t="s">
        <v>5</v>
      </c>
      <c r="AI1150" s="883"/>
      <c r="AJ1150" s="883" t="s">
        <v>2</v>
      </c>
      <c r="AK1150" s="1510">
        <f>AI1150*8000</f>
        <v>0</v>
      </c>
      <c r="AL1150" s="246"/>
      <c r="AM1150" s="88"/>
      <c r="AN1150" s="88"/>
      <c r="AO1150" s="88"/>
      <c r="AP1150" s="88"/>
      <c r="AQ1150" s="88"/>
      <c r="AR1150" s="89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  <c r="BM1150" s="58"/>
      <c r="BN1150" s="58"/>
      <c r="BO1150" s="58"/>
      <c r="BP1150" s="58"/>
      <c r="BQ1150" s="58"/>
      <c r="BR1150" s="58"/>
      <c r="BS1150" s="58"/>
      <c r="BT1150" s="58"/>
      <c r="BU1150" s="58"/>
      <c r="BV1150" s="58"/>
      <c r="BW1150" s="58"/>
      <c r="BX1150" s="58"/>
      <c r="BY1150" s="58"/>
      <c r="BZ1150" s="58"/>
      <c r="CA1150" s="58"/>
      <c r="CB1150" s="58"/>
      <c r="CC1150" s="58"/>
      <c r="CD1150" s="58"/>
      <c r="CE1150" s="58"/>
      <c r="CF1150" s="58"/>
      <c r="CG1150" s="58"/>
      <c r="CH1150" s="58"/>
    </row>
    <row r="1151" spans="1:86" s="59" customFormat="1" ht="21.75" hidden="1" customHeight="1" x14ac:dyDescent="0.2">
      <c r="A1151" s="1509"/>
      <c r="B1151" s="1507"/>
      <c r="C1151" s="1699"/>
      <c r="D1151" s="1543"/>
      <c r="E1151" s="1557"/>
      <c r="F1151" s="1543"/>
      <c r="G1151" s="1557"/>
      <c r="H1151" s="89"/>
      <c r="I1151" s="89"/>
      <c r="J1151" s="89"/>
      <c r="K1151" s="89"/>
      <c r="L1151" s="89"/>
      <c r="M1151" s="89"/>
      <c r="N1151" s="89"/>
      <c r="O1151" s="89"/>
      <c r="P1151" s="89"/>
      <c r="Q1151" s="89"/>
      <c r="R1151" s="89"/>
      <c r="S1151" s="209"/>
      <c r="T1151" s="89"/>
      <c r="U1151" s="89"/>
      <c r="V1151" s="89"/>
      <c r="W1151" s="87"/>
      <c r="X1151" s="88"/>
      <c r="Y1151" s="240"/>
      <c r="Z1151" s="89"/>
      <c r="AA1151" s="89"/>
      <c r="AB1151" s="89"/>
      <c r="AC1151" s="89"/>
      <c r="AD1151" s="89"/>
      <c r="AE1151" s="89"/>
      <c r="AF1151" s="1261"/>
      <c r="AG1151" s="1261"/>
      <c r="AH1151" s="1268"/>
      <c r="AI1151" s="883">
        <f>AI1150*5280</f>
        <v>0</v>
      </c>
      <c r="AJ1151" s="883" t="s">
        <v>519</v>
      </c>
      <c r="AK1151" s="1511"/>
      <c r="AL1151" s="88"/>
      <c r="AM1151" s="88"/>
      <c r="AN1151" s="88"/>
      <c r="AO1151" s="88"/>
      <c r="AP1151" s="88"/>
      <c r="AQ1151" s="88"/>
      <c r="AR1151" s="89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  <c r="BM1151" s="58"/>
      <c r="BN1151" s="58"/>
      <c r="BO1151" s="58"/>
      <c r="BP1151" s="58"/>
      <c r="BQ1151" s="58"/>
      <c r="BR1151" s="58"/>
      <c r="BS1151" s="58"/>
      <c r="BT1151" s="58"/>
      <c r="BU1151" s="58"/>
      <c r="BV1151" s="58"/>
      <c r="BW1151" s="58"/>
      <c r="BX1151" s="58"/>
      <c r="BY1151" s="58"/>
      <c r="BZ1151" s="58"/>
      <c r="CA1151" s="58"/>
      <c r="CB1151" s="58"/>
      <c r="CC1151" s="58"/>
      <c r="CD1151" s="58"/>
      <c r="CE1151" s="58"/>
      <c r="CF1151" s="58"/>
      <c r="CG1151" s="58"/>
      <c r="CH1151" s="58"/>
    </row>
    <row r="1152" spans="1:86" s="59" customFormat="1" ht="28.35" hidden="1" customHeight="1" x14ac:dyDescent="0.2">
      <c r="A1152" s="1174"/>
      <c r="B1152" s="1356"/>
      <c r="C1152" s="1273"/>
      <c r="D1152" s="1473"/>
      <c r="E1152" s="1471"/>
      <c r="F1152" s="1473"/>
      <c r="G1152" s="1471"/>
      <c r="H1152" s="89"/>
      <c r="I1152" s="89"/>
      <c r="J1152" s="89"/>
      <c r="K1152" s="89"/>
      <c r="L1152" s="89"/>
      <c r="M1152" s="89"/>
      <c r="N1152" s="89"/>
      <c r="O1152" s="89"/>
      <c r="P1152" s="89"/>
      <c r="Q1152" s="89"/>
      <c r="R1152" s="89"/>
      <c r="S1152" s="209"/>
      <c r="T1152" s="89"/>
      <c r="U1152" s="89"/>
      <c r="V1152" s="89"/>
      <c r="W1152" s="87"/>
      <c r="X1152" s="88"/>
      <c r="Y1152" s="240"/>
      <c r="Z1152" s="89"/>
      <c r="AA1152" s="89"/>
      <c r="AB1152" s="89"/>
      <c r="AC1152" s="89"/>
      <c r="AD1152" s="89"/>
      <c r="AE1152" s="89"/>
      <c r="AF1152" s="1268"/>
      <c r="AG1152" s="1268"/>
      <c r="AH1152" s="883" t="s">
        <v>35</v>
      </c>
      <c r="AI1152" s="883">
        <v>2</v>
      </c>
      <c r="AJ1152" s="883" t="s">
        <v>512</v>
      </c>
      <c r="AK1152" s="1512"/>
      <c r="AL1152" s="88"/>
      <c r="AM1152" s="88"/>
      <c r="AN1152" s="88"/>
      <c r="AO1152" s="88"/>
      <c r="AP1152" s="88"/>
      <c r="AQ1152" s="88"/>
      <c r="AR1152" s="89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  <c r="BM1152" s="58"/>
      <c r="BN1152" s="58"/>
      <c r="BO1152" s="58"/>
      <c r="BP1152" s="58"/>
      <c r="BQ1152" s="58"/>
      <c r="BR1152" s="58"/>
      <c r="BS1152" s="58"/>
      <c r="BT1152" s="58"/>
      <c r="BU1152" s="58"/>
      <c r="BV1152" s="58"/>
      <c r="BW1152" s="58"/>
      <c r="BX1152" s="58"/>
      <c r="BY1152" s="58"/>
      <c r="BZ1152" s="58"/>
      <c r="CA1152" s="58"/>
      <c r="CB1152" s="58"/>
      <c r="CC1152" s="58"/>
      <c r="CD1152" s="58"/>
      <c r="CE1152" s="58"/>
      <c r="CF1152" s="58"/>
      <c r="CG1152" s="58"/>
      <c r="CH1152" s="58"/>
    </row>
    <row r="1153" spans="1:86" s="59" customFormat="1" ht="21.75" customHeight="1" x14ac:dyDescent="0.2">
      <c r="A1153" s="1549">
        <v>17</v>
      </c>
      <c r="B1153" s="1355">
        <v>2241973</v>
      </c>
      <c r="C1153" s="1343" t="s">
        <v>102</v>
      </c>
      <c r="D1153" s="1472">
        <v>0.93</v>
      </c>
      <c r="E1153" s="1470">
        <v>2620</v>
      </c>
      <c r="F1153" s="1472">
        <v>0.93</v>
      </c>
      <c r="G1153" s="1470">
        <v>2620</v>
      </c>
      <c r="H1153" s="89"/>
      <c r="I1153" s="89"/>
      <c r="J1153" s="89"/>
      <c r="K1153" s="89"/>
      <c r="L1153" s="89"/>
      <c r="M1153" s="89"/>
      <c r="N1153" s="89"/>
      <c r="O1153" s="89"/>
      <c r="P1153" s="89"/>
      <c r="Q1153" s="89"/>
      <c r="R1153" s="89"/>
      <c r="S1153" s="209"/>
      <c r="T1153" s="89"/>
      <c r="U1153" s="89"/>
      <c r="V1153" s="89"/>
      <c r="W1153" s="87"/>
      <c r="X1153" s="88"/>
      <c r="Y1153" s="240"/>
      <c r="Z1153" s="88"/>
      <c r="AA1153" s="88"/>
      <c r="AB1153" s="89"/>
      <c r="AC1153" s="89"/>
      <c r="AD1153" s="89"/>
      <c r="AE1153" s="88"/>
      <c r="AF1153" s="249"/>
      <c r="AG1153" s="174"/>
      <c r="AH1153" s="174"/>
      <c r="AI1153" s="883"/>
      <c r="AJ1153" s="883"/>
      <c r="AK1153" s="503"/>
      <c r="AL1153" s="1440" t="s">
        <v>526</v>
      </c>
      <c r="AM1153" s="1260" t="s">
        <v>527</v>
      </c>
      <c r="AN1153" s="1260" t="s">
        <v>5</v>
      </c>
      <c r="AO1153" s="42">
        <v>0.93</v>
      </c>
      <c r="AP1153" s="883" t="s">
        <v>2</v>
      </c>
      <c r="AQ1153" s="2371">
        <v>16607.939999999999</v>
      </c>
      <c r="AR1153" s="89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  <c r="BM1153" s="58"/>
      <c r="BN1153" s="58"/>
      <c r="BO1153" s="58"/>
      <c r="BP1153" s="58"/>
      <c r="BQ1153" s="58"/>
      <c r="BR1153" s="58"/>
      <c r="BS1153" s="58"/>
      <c r="BT1153" s="58"/>
      <c r="BU1153" s="58"/>
      <c r="BV1153" s="58"/>
      <c r="BW1153" s="58"/>
      <c r="BX1153" s="58"/>
      <c r="BY1153" s="58"/>
      <c r="BZ1153" s="58"/>
      <c r="CA1153" s="58"/>
      <c r="CB1153" s="58"/>
      <c r="CC1153" s="58"/>
      <c r="CD1153" s="58"/>
      <c r="CE1153" s="58"/>
      <c r="CF1153" s="58"/>
      <c r="CG1153" s="58"/>
      <c r="CH1153" s="58"/>
    </row>
    <row r="1154" spans="1:86" s="59" customFormat="1" ht="21.75" customHeight="1" x14ac:dyDescent="0.2">
      <c r="A1154" s="1509"/>
      <c r="B1154" s="1507"/>
      <c r="C1154" s="1699"/>
      <c r="D1154" s="1543"/>
      <c r="E1154" s="1557"/>
      <c r="F1154" s="1543"/>
      <c r="G1154" s="1557"/>
      <c r="H1154" s="89"/>
      <c r="I1154" s="89"/>
      <c r="J1154" s="89"/>
      <c r="K1154" s="89"/>
      <c r="L1154" s="89"/>
      <c r="M1154" s="89"/>
      <c r="N1154" s="89"/>
      <c r="O1154" s="89"/>
      <c r="P1154" s="89"/>
      <c r="Q1154" s="89"/>
      <c r="R1154" s="89"/>
      <c r="S1154" s="209"/>
      <c r="T1154" s="89"/>
      <c r="U1154" s="89"/>
      <c r="V1154" s="89"/>
      <c r="W1154" s="87"/>
      <c r="X1154" s="88"/>
      <c r="Y1154" s="240"/>
      <c r="Z1154" s="89"/>
      <c r="AA1154" s="89"/>
      <c r="AB1154" s="89"/>
      <c r="AC1154" s="89"/>
      <c r="AD1154" s="89"/>
      <c r="AE1154" s="89"/>
      <c r="AF1154" s="249"/>
      <c r="AG1154" s="174"/>
      <c r="AH1154" s="174"/>
      <c r="AI1154" s="41"/>
      <c r="AJ1154" s="883"/>
      <c r="AK1154" s="503"/>
      <c r="AL1154" s="1440"/>
      <c r="AM1154" s="1260"/>
      <c r="AN1154" s="1260"/>
      <c r="AO1154" s="41">
        <v>2620</v>
      </c>
      <c r="AP1154" s="883" t="s">
        <v>524</v>
      </c>
      <c r="AQ1154" s="2371"/>
      <c r="AR1154" s="89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  <c r="BM1154" s="58"/>
      <c r="BN1154" s="58"/>
      <c r="BO1154" s="58"/>
      <c r="BP1154" s="58"/>
      <c r="BQ1154" s="58"/>
      <c r="BR1154" s="58"/>
      <c r="BS1154" s="58"/>
      <c r="BT1154" s="58"/>
      <c r="BU1154" s="58"/>
      <c r="BV1154" s="58"/>
      <c r="BW1154" s="58"/>
      <c r="BX1154" s="58"/>
      <c r="BY1154" s="58"/>
      <c r="BZ1154" s="58"/>
      <c r="CA1154" s="58"/>
      <c r="CB1154" s="58"/>
      <c r="CC1154" s="58"/>
      <c r="CD1154" s="58"/>
      <c r="CE1154" s="58"/>
      <c r="CF1154" s="58"/>
      <c r="CG1154" s="58"/>
      <c r="CH1154" s="58"/>
    </row>
    <row r="1155" spans="1:86" s="59" customFormat="1" ht="21.75" hidden="1" customHeight="1" x14ac:dyDescent="0.2">
      <c r="A1155" s="1174"/>
      <c r="B1155" s="1356"/>
      <c r="C1155" s="1273"/>
      <c r="D1155" s="1473"/>
      <c r="E1155" s="1471"/>
      <c r="F1155" s="1473"/>
      <c r="G1155" s="1471"/>
      <c r="H1155" s="89"/>
      <c r="I1155" s="89"/>
      <c r="J1155" s="89"/>
      <c r="K1155" s="89"/>
      <c r="L1155" s="89"/>
      <c r="M1155" s="89"/>
      <c r="N1155" s="89"/>
      <c r="O1155" s="89"/>
      <c r="P1155" s="89"/>
      <c r="Q1155" s="89"/>
      <c r="R1155" s="89"/>
      <c r="S1155" s="209"/>
      <c r="T1155" s="89"/>
      <c r="U1155" s="89"/>
      <c r="V1155" s="89"/>
      <c r="W1155" s="87"/>
      <c r="X1155" s="88"/>
      <c r="Y1155" s="240"/>
      <c r="Z1155" s="89"/>
      <c r="AA1155" s="89"/>
      <c r="AB1155" s="89"/>
      <c r="AC1155" s="89"/>
      <c r="AD1155" s="89"/>
      <c r="AE1155" s="89"/>
      <c r="AF1155" s="249"/>
      <c r="AG1155" s="174"/>
      <c r="AH1155" s="883"/>
      <c r="AI1155" s="883"/>
      <c r="AJ1155" s="883"/>
      <c r="AK1155" s="503"/>
      <c r="AL1155" s="1440"/>
      <c r="AM1155" s="1260"/>
      <c r="AN1155" s="883" t="s">
        <v>35</v>
      </c>
      <c r="AO1155" s="883">
        <v>2</v>
      </c>
      <c r="AP1155" s="883" t="s">
        <v>512</v>
      </c>
      <c r="AQ1155" s="2371"/>
      <c r="AR1155" s="89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  <c r="BM1155" s="58"/>
      <c r="BN1155" s="58"/>
      <c r="BO1155" s="58"/>
      <c r="BP1155" s="58"/>
      <c r="BQ1155" s="58"/>
      <c r="BR1155" s="58"/>
      <c r="BS1155" s="58"/>
      <c r="BT1155" s="58"/>
      <c r="BU1155" s="58"/>
      <c r="BV1155" s="58"/>
      <c r="BW1155" s="58"/>
      <c r="BX1155" s="58"/>
      <c r="BY1155" s="58"/>
      <c r="BZ1155" s="58"/>
      <c r="CA1155" s="58"/>
      <c r="CB1155" s="58"/>
      <c r="CC1155" s="58"/>
      <c r="CD1155" s="58"/>
      <c r="CE1155" s="58"/>
      <c r="CF1155" s="58"/>
      <c r="CG1155" s="58"/>
      <c r="CH1155" s="58"/>
    </row>
    <row r="1156" spans="1:86" s="59" customFormat="1" ht="21.75" customHeight="1" x14ac:dyDescent="0.2">
      <c r="A1156" s="1549">
        <v>18</v>
      </c>
      <c r="B1156" s="2002">
        <v>2242010</v>
      </c>
      <c r="C1156" s="2005" t="s">
        <v>103</v>
      </c>
      <c r="D1156" s="1472">
        <v>1.1000000000000001</v>
      </c>
      <c r="E1156" s="1470">
        <v>5220</v>
      </c>
      <c r="F1156" s="1472">
        <v>1.1000000000000001</v>
      </c>
      <c r="G1156" s="1470">
        <v>5220</v>
      </c>
      <c r="H1156" s="89"/>
      <c r="I1156" s="89"/>
      <c r="J1156" s="89"/>
      <c r="K1156" s="89"/>
      <c r="L1156" s="89"/>
      <c r="M1156" s="89"/>
      <c r="N1156" s="89"/>
      <c r="O1156" s="89"/>
      <c r="P1156" s="89"/>
      <c r="Q1156" s="89"/>
      <c r="R1156" s="89"/>
      <c r="S1156" s="209"/>
      <c r="T1156" s="89"/>
      <c r="U1156" s="89"/>
      <c r="V1156" s="89"/>
      <c r="W1156" s="87"/>
      <c r="X1156" s="88"/>
      <c r="Y1156" s="240"/>
      <c r="Z1156" s="88"/>
      <c r="AA1156" s="88"/>
      <c r="AB1156" s="88"/>
      <c r="AC1156" s="88"/>
      <c r="AD1156" s="88"/>
      <c r="AE1156" s="88"/>
      <c r="AF1156" s="1497" t="s">
        <v>1507</v>
      </c>
      <c r="AG1156" s="1528" t="s">
        <v>553</v>
      </c>
      <c r="AH1156" s="1528" t="s">
        <v>5</v>
      </c>
      <c r="AI1156" s="42">
        <v>0.874</v>
      </c>
      <c r="AJ1156" s="42" t="s">
        <v>2</v>
      </c>
      <c r="AK1156" s="1510">
        <v>15732</v>
      </c>
      <c r="AL1156" s="246"/>
      <c r="AM1156" s="88"/>
      <c r="AN1156" s="88"/>
      <c r="AO1156" s="88"/>
      <c r="AP1156" s="88"/>
      <c r="AQ1156" s="88"/>
      <c r="AR1156" s="89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  <c r="BM1156" s="58"/>
      <c r="BN1156" s="58"/>
      <c r="BO1156" s="58"/>
      <c r="BP1156" s="58"/>
      <c r="BQ1156" s="58"/>
      <c r="BR1156" s="58"/>
      <c r="BS1156" s="58"/>
      <c r="BT1156" s="58"/>
      <c r="BU1156" s="58"/>
      <c r="BV1156" s="58"/>
      <c r="BW1156" s="58"/>
      <c r="BX1156" s="58"/>
      <c r="BY1156" s="58"/>
      <c r="BZ1156" s="58"/>
      <c r="CA1156" s="58"/>
      <c r="CB1156" s="58"/>
      <c r="CC1156" s="58"/>
      <c r="CD1156" s="58"/>
      <c r="CE1156" s="58"/>
      <c r="CF1156" s="58"/>
      <c r="CG1156" s="58"/>
      <c r="CH1156" s="58"/>
    </row>
    <row r="1157" spans="1:86" s="59" customFormat="1" ht="21.75" customHeight="1" x14ac:dyDescent="0.2">
      <c r="A1157" s="1509"/>
      <c r="B1157" s="2003"/>
      <c r="C1157" s="2006"/>
      <c r="D1157" s="1543"/>
      <c r="E1157" s="1557"/>
      <c r="F1157" s="1543"/>
      <c r="G1157" s="1557"/>
      <c r="H1157" s="89"/>
      <c r="I1157" s="89"/>
      <c r="J1157" s="89"/>
      <c r="K1157" s="89"/>
      <c r="L1157" s="89"/>
      <c r="M1157" s="89"/>
      <c r="N1157" s="89"/>
      <c r="O1157" s="89"/>
      <c r="P1157" s="89"/>
      <c r="Q1157" s="89"/>
      <c r="R1157" s="89"/>
      <c r="S1157" s="209"/>
      <c r="T1157" s="89"/>
      <c r="U1157" s="89"/>
      <c r="V1157" s="89"/>
      <c r="W1157" s="87"/>
      <c r="X1157" s="88"/>
      <c r="Y1157" s="240"/>
      <c r="Z1157" s="89"/>
      <c r="AA1157" s="89"/>
      <c r="AB1157" s="89"/>
      <c r="AC1157" s="89"/>
      <c r="AD1157" s="89"/>
      <c r="AE1157" s="89"/>
      <c r="AF1157" s="1498"/>
      <c r="AG1157" s="1529"/>
      <c r="AH1157" s="1530"/>
      <c r="AI1157" s="41">
        <f>AI1156*4745</f>
        <v>4147.13</v>
      </c>
      <c r="AJ1157" s="883" t="s">
        <v>524</v>
      </c>
      <c r="AK1157" s="1511"/>
      <c r="AL1157" s="89"/>
      <c r="AM1157" s="89"/>
      <c r="AN1157" s="89"/>
      <c r="AO1157" s="89"/>
      <c r="AP1157" s="89"/>
      <c r="AQ1157" s="89"/>
      <c r="AR1157" s="89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  <c r="BM1157" s="58"/>
      <c r="BN1157" s="58"/>
      <c r="BO1157" s="58"/>
      <c r="BP1157" s="58"/>
      <c r="BQ1157" s="58"/>
      <c r="BR1157" s="58"/>
      <c r="BS1157" s="58"/>
      <c r="BT1157" s="58"/>
      <c r="BU1157" s="58"/>
      <c r="BV1157" s="58"/>
      <c r="BW1157" s="58"/>
      <c r="BX1157" s="58"/>
      <c r="BY1157" s="58"/>
      <c r="BZ1157" s="58"/>
      <c r="CA1157" s="58"/>
      <c r="CB1157" s="58"/>
      <c r="CC1157" s="58"/>
      <c r="CD1157" s="58"/>
      <c r="CE1157" s="58"/>
      <c r="CF1157" s="58"/>
      <c r="CG1157" s="58"/>
      <c r="CH1157" s="58"/>
    </row>
    <row r="1158" spans="1:86" s="59" customFormat="1" ht="21.75" hidden="1" customHeight="1" x14ac:dyDescent="0.2">
      <c r="A1158" s="1174"/>
      <c r="B1158" s="2004"/>
      <c r="C1158" s="2007"/>
      <c r="D1158" s="1473"/>
      <c r="E1158" s="1471"/>
      <c r="F1158" s="1473"/>
      <c r="G1158" s="1471"/>
      <c r="H1158" s="89"/>
      <c r="I1158" s="89"/>
      <c r="J1158" s="89"/>
      <c r="K1158" s="89"/>
      <c r="L1158" s="89"/>
      <c r="M1158" s="89"/>
      <c r="N1158" s="89"/>
      <c r="O1158" s="89"/>
      <c r="P1158" s="89"/>
      <c r="Q1158" s="89"/>
      <c r="R1158" s="89"/>
      <c r="S1158" s="209"/>
      <c r="T1158" s="89"/>
      <c r="U1158" s="89"/>
      <c r="V1158" s="89"/>
      <c r="W1158" s="87"/>
      <c r="X1158" s="88"/>
      <c r="Y1158" s="240"/>
      <c r="Z1158" s="89"/>
      <c r="AA1158" s="89"/>
      <c r="AB1158" s="89"/>
      <c r="AC1158" s="89"/>
      <c r="AD1158" s="89"/>
      <c r="AE1158" s="89"/>
      <c r="AF1158" s="1499"/>
      <c r="AG1158" s="1530"/>
      <c r="AH1158" s="883" t="s">
        <v>35</v>
      </c>
      <c r="AI1158" s="883">
        <v>2</v>
      </c>
      <c r="AJ1158" s="883" t="s">
        <v>512</v>
      </c>
      <c r="AK1158" s="1512"/>
      <c r="AL1158" s="89"/>
      <c r="AM1158" s="89"/>
      <c r="AN1158" s="89"/>
      <c r="AO1158" s="89"/>
      <c r="AP1158" s="89"/>
      <c r="AQ1158" s="89"/>
      <c r="AR1158" s="89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  <c r="BM1158" s="58"/>
      <c r="BN1158" s="58"/>
      <c r="BO1158" s="58"/>
      <c r="BP1158" s="58"/>
      <c r="BQ1158" s="58"/>
      <c r="BR1158" s="58"/>
      <c r="BS1158" s="58"/>
      <c r="BT1158" s="58"/>
      <c r="BU1158" s="58"/>
      <c r="BV1158" s="58"/>
      <c r="BW1158" s="58"/>
      <c r="BX1158" s="58"/>
      <c r="BY1158" s="58"/>
      <c r="BZ1158" s="58"/>
      <c r="CA1158" s="58"/>
      <c r="CB1158" s="58"/>
      <c r="CC1158" s="58"/>
      <c r="CD1158" s="58"/>
      <c r="CE1158" s="58"/>
      <c r="CF1158" s="58"/>
      <c r="CG1158" s="58"/>
      <c r="CH1158" s="58"/>
    </row>
    <row r="1159" spans="1:86" s="59" customFormat="1" ht="21.75" hidden="1" customHeight="1" x14ac:dyDescent="0.2">
      <c r="A1159" s="1549">
        <v>24</v>
      </c>
      <c r="B1159" s="1355">
        <v>2240797</v>
      </c>
      <c r="C1159" s="1343" t="s">
        <v>589</v>
      </c>
      <c r="D1159" s="1472">
        <v>2.48</v>
      </c>
      <c r="E1159" s="1470">
        <v>17360</v>
      </c>
      <c r="F1159" s="1472">
        <v>2.48</v>
      </c>
      <c r="G1159" s="1470">
        <v>17360</v>
      </c>
      <c r="H1159" s="89"/>
      <c r="I1159" s="89"/>
      <c r="J1159" s="89"/>
      <c r="K1159" s="89"/>
      <c r="L1159" s="89"/>
      <c r="M1159" s="89"/>
      <c r="N1159" s="89"/>
      <c r="O1159" s="89"/>
      <c r="P1159" s="89"/>
      <c r="Q1159" s="89"/>
      <c r="R1159" s="89"/>
      <c r="S1159" s="209"/>
      <c r="T1159" s="89"/>
      <c r="U1159" s="89"/>
      <c r="V1159" s="89"/>
      <c r="W1159" s="87"/>
      <c r="X1159" s="88"/>
      <c r="Y1159" s="240"/>
      <c r="Z1159" s="89"/>
      <c r="AA1159" s="89"/>
      <c r="AB1159" s="89"/>
      <c r="AC1159" s="89"/>
      <c r="AD1159" s="89"/>
      <c r="AE1159" s="89"/>
      <c r="AF1159" s="1279" t="s">
        <v>590</v>
      </c>
      <c r="AG1159" s="1279" t="s">
        <v>591</v>
      </c>
      <c r="AH1159" s="1279" t="s">
        <v>5</v>
      </c>
      <c r="AI1159" s="883"/>
      <c r="AJ1159" s="883" t="s">
        <v>2</v>
      </c>
      <c r="AK1159" s="1510">
        <f>AI1159*8000</f>
        <v>0</v>
      </c>
      <c r="AL1159" s="295"/>
      <c r="AM1159" s="89"/>
      <c r="AN1159" s="89"/>
      <c r="AO1159" s="89"/>
      <c r="AP1159" s="89"/>
      <c r="AQ1159" s="89"/>
      <c r="AR1159" s="89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  <c r="BM1159" s="58"/>
      <c r="BN1159" s="58"/>
      <c r="BO1159" s="58"/>
      <c r="BP1159" s="58"/>
      <c r="BQ1159" s="58"/>
      <c r="BR1159" s="58"/>
      <c r="BS1159" s="58"/>
      <c r="BT1159" s="58"/>
      <c r="BU1159" s="58"/>
      <c r="BV1159" s="58"/>
      <c r="BW1159" s="58"/>
      <c r="BX1159" s="58"/>
      <c r="BY1159" s="58"/>
      <c r="BZ1159" s="58"/>
      <c r="CA1159" s="58"/>
      <c r="CB1159" s="58"/>
      <c r="CC1159" s="58"/>
      <c r="CD1159" s="58"/>
      <c r="CE1159" s="58"/>
      <c r="CF1159" s="58"/>
      <c r="CG1159" s="58"/>
      <c r="CH1159" s="58"/>
    </row>
    <row r="1160" spans="1:86" s="59" customFormat="1" ht="21.75" hidden="1" customHeight="1" x14ac:dyDescent="0.2">
      <c r="A1160" s="1509"/>
      <c r="B1160" s="1507"/>
      <c r="C1160" s="1699"/>
      <c r="D1160" s="1543"/>
      <c r="E1160" s="1557"/>
      <c r="F1160" s="1543"/>
      <c r="G1160" s="1557"/>
      <c r="H1160" s="89"/>
      <c r="I1160" s="89"/>
      <c r="J1160" s="89"/>
      <c r="K1160" s="89"/>
      <c r="L1160" s="89"/>
      <c r="M1160" s="89"/>
      <c r="N1160" s="89"/>
      <c r="O1160" s="89"/>
      <c r="P1160" s="89"/>
      <c r="Q1160" s="89"/>
      <c r="R1160" s="89"/>
      <c r="S1160" s="209"/>
      <c r="T1160" s="89"/>
      <c r="U1160" s="89"/>
      <c r="V1160" s="89"/>
      <c r="W1160" s="87"/>
      <c r="X1160" s="88"/>
      <c r="Y1160" s="240"/>
      <c r="Z1160" s="89"/>
      <c r="AA1160" s="89"/>
      <c r="AB1160" s="89"/>
      <c r="AC1160" s="89"/>
      <c r="AD1160" s="89"/>
      <c r="AE1160" s="89"/>
      <c r="AF1160" s="1261"/>
      <c r="AG1160" s="1261"/>
      <c r="AH1160" s="1268"/>
      <c r="AI1160" s="883">
        <f>AI1159*7000</f>
        <v>0</v>
      </c>
      <c r="AJ1160" s="883" t="s">
        <v>524</v>
      </c>
      <c r="AK1160" s="1511"/>
      <c r="AL1160" s="89"/>
      <c r="AM1160" s="89"/>
      <c r="AN1160" s="89"/>
      <c r="AO1160" s="89"/>
      <c r="AP1160" s="89"/>
      <c r="AQ1160" s="89"/>
      <c r="AR1160" s="89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  <c r="BM1160" s="58"/>
      <c r="BN1160" s="58"/>
      <c r="BO1160" s="58"/>
      <c r="BP1160" s="58"/>
      <c r="BQ1160" s="58"/>
      <c r="BR1160" s="58"/>
      <c r="BS1160" s="58"/>
      <c r="BT1160" s="58"/>
      <c r="BU1160" s="58"/>
      <c r="BV1160" s="58"/>
      <c r="BW1160" s="58"/>
      <c r="BX1160" s="58"/>
      <c r="BY1160" s="58"/>
      <c r="BZ1160" s="58"/>
      <c r="CA1160" s="58"/>
      <c r="CB1160" s="58"/>
      <c r="CC1160" s="58"/>
      <c r="CD1160" s="58"/>
      <c r="CE1160" s="58"/>
      <c r="CF1160" s="58"/>
      <c r="CG1160" s="58"/>
      <c r="CH1160" s="58"/>
    </row>
    <row r="1161" spans="1:86" s="59" customFormat="1" ht="21.75" hidden="1" customHeight="1" x14ac:dyDescent="0.2">
      <c r="A1161" s="1174"/>
      <c r="B1161" s="1356"/>
      <c r="C1161" s="1273"/>
      <c r="D1161" s="1473"/>
      <c r="E1161" s="1471"/>
      <c r="F1161" s="1473"/>
      <c r="G1161" s="1471"/>
      <c r="H1161" s="89"/>
      <c r="I1161" s="89"/>
      <c r="J1161" s="89"/>
      <c r="K1161" s="89"/>
      <c r="L1161" s="89"/>
      <c r="M1161" s="89"/>
      <c r="N1161" s="89"/>
      <c r="O1161" s="89"/>
      <c r="P1161" s="89"/>
      <c r="Q1161" s="89"/>
      <c r="R1161" s="89"/>
      <c r="S1161" s="209"/>
      <c r="T1161" s="89"/>
      <c r="U1161" s="89"/>
      <c r="V1161" s="89"/>
      <c r="W1161" s="87"/>
      <c r="X1161" s="88"/>
      <c r="Y1161" s="240"/>
      <c r="Z1161" s="89"/>
      <c r="AA1161" s="89"/>
      <c r="AB1161" s="89"/>
      <c r="AC1161" s="89"/>
      <c r="AD1161" s="89"/>
      <c r="AE1161" s="89"/>
      <c r="AF1161" s="1268"/>
      <c r="AG1161" s="1268"/>
      <c r="AH1161" s="883" t="s">
        <v>35</v>
      </c>
      <c r="AI1161" s="883">
        <v>7</v>
      </c>
      <c r="AJ1161" s="883" t="s">
        <v>512</v>
      </c>
      <c r="AK1161" s="1512"/>
      <c r="AL1161" s="89"/>
      <c r="AM1161" s="89"/>
      <c r="AN1161" s="89"/>
      <c r="AO1161" s="89"/>
      <c r="AP1161" s="89"/>
      <c r="AQ1161" s="89"/>
      <c r="AR1161" s="89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  <c r="BM1161" s="58"/>
      <c r="BN1161" s="58"/>
      <c r="BO1161" s="58"/>
      <c r="BP1161" s="58"/>
      <c r="BQ1161" s="58"/>
      <c r="BR1161" s="58"/>
      <c r="BS1161" s="58"/>
      <c r="BT1161" s="58"/>
      <c r="BU1161" s="58"/>
      <c r="BV1161" s="58"/>
      <c r="BW1161" s="58"/>
      <c r="BX1161" s="58"/>
      <c r="BY1161" s="58"/>
      <c r="BZ1161" s="58"/>
      <c r="CA1161" s="58"/>
      <c r="CB1161" s="58"/>
      <c r="CC1161" s="58"/>
      <c r="CD1161" s="58"/>
      <c r="CE1161" s="58"/>
      <c r="CF1161" s="58"/>
      <c r="CG1161" s="58"/>
      <c r="CH1161" s="58"/>
    </row>
    <row r="1162" spans="1:86" s="59" customFormat="1" ht="31.15" hidden="1" customHeight="1" x14ac:dyDescent="0.2">
      <c r="A1162" s="1174">
        <v>25</v>
      </c>
      <c r="B1162" s="1439">
        <v>2242809</v>
      </c>
      <c r="C1162" s="1245" t="s">
        <v>104</v>
      </c>
      <c r="D1162" s="1258">
        <v>1.48</v>
      </c>
      <c r="E1162" s="2008">
        <v>7080</v>
      </c>
      <c r="F1162" s="1258">
        <v>1.48</v>
      </c>
      <c r="G1162" s="2008">
        <v>7080</v>
      </c>
      <c r="H1162" s="89"/>
      <c r="I1162" s="89"/>
      <c r="J1162" s="89"/>
      <c r="K1162" s="89"/>
      <c r="L1162" s="89"/>
      <c r="M1162" s="89"/>
      <c r="N1162" s="89"/>
      <c r="O1162" s="89"/>
      <c r="P1162" s="89"/>
      <c r="Q1162" s="89"/>
      <c r="R1162" s="89"/>
      <c r="S1162" s="209"/>
      <c r="T1162" s="89"/>
      <c r="U1162" s="89"/>
      <c r="V1162" s="89"/>
      <c r="W1162" s="87"/>
      <c r="X1162" s="88"/>
      <c r="Y1162" s="240"/>
      <c r="Z1162" s="89"/>
      <c r="AA1162" s="89"/>
      <c r="AB1162" s="89"/>
      <c r="AC1162" s="89"/>
      <c r="AD1162" s="89"/>
      <c r="AE1162" s="89"/>
      <c r="AF1162" s="1044" t="s">
        <v>441</v>
      </c>
      <c r="AG1162" s="1044" t="s">
        <v>690</v>
      </c>
      <c r="AH1162" s="1040" t="s">
        <v>5</v>
      </c>
      <c r="AI1162" s="975"/>
      <c r="AJ1162" s="1162" t="s">
        <v>2</v>
      </c>
      <c r="AK1162" s="1510">
        <f>AI1162*8000</f>
        <v>0</v>
      </c>
      <c r="AL1162" s="295"/>
      <c r="AM1162" s="89"/>
      <c r="AN1162" s="89"/>
      <c r="AO1162" s="89"/>
      <c r="AP1162" s="89"/>
      <c r="AQ1162" s="89"/>
      <c r="AR1162" s="89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  <c r="BM1162" s="58"/>
      <c r="BN1162" s="58"/>
      <c r="BO1162" s="58"/>
      <c r="BP1162" s="58"/>
      <c r="BQ1162" s="58"/>
      <c r="BR1162" s="58"/>
      <c r="BS1162" s="58"/>
      <c r="BT1162" s="58"/>
      <c r="BU1162" s="58"/>
      <c r="BV1162" s="58"/>
      <c r="BW1162" s="58"/>
      <c r="BX1162" s="58"/>
      <c r="BY1162" s="58"/>
      <c r="BZ1162" s="58"/>
      <c r="CA1162" s="58"/>
      <c r="CB1162" s="58"/>
      <c r="CC1162" s="58"/>
      <c r="CD1162" s="58"/>
      <c r="CE1162" s="58"/>
      <c r="CF1162" s="58"/>
      <c r="CG1162" s="58"/>
      <c r="CH1162" s="58"/>
    </row>
    <row r="1163" spans="1:86" s="59" customFormat="1" ht="21.75" hidden="1" customHeight="1" x14ac:dyDescent="0.2">
      <c r="A1163" s="1174"/>
      <c r="B1163" s="1439"/>
      <c r="C1163" s="1245"/>
      <c r="D1163" s="1258"/>
      <c r="E1163" s="2008"/>
      <c r="F1163" s="1258"/>
      <c r="G1163" s="2008"/>
      <c r="H1163" s="89"/>
      <c r="I1163" s="89"/>
      <c r="J1163" s="89"/>
      <c r="K1163" s="89"/>
      <c r="L1163" s="89"/>
      <c r="M1163" s="89"/>
      <c r="N1163" s="89"/>
      <c r="O1163" s="89"/>
      <c r="P1163" s="89"/>
      <c r="Q1163" s="89"/>
      <c r="R1163" s="89"/>
      <c r="S1163" s="209"/>
      <c r="T1163" s="89"/>
      <c r="U1163" s="89"/>
      <c r="V1163" s="89"/>
      <c r="W1163" s="87"/>
      <c r="X1163" s="88"/>
      <c r="Y1163" s="240"/>
      <c r="Z1163" s="89"/>
      <c r="AA1163" s="89"/>
      <c r="AB1163" s="89"/>
      <c r="AC1163" s="89"/>
      <c r="AD1163" s="89"/>
      <c r="AE1163" s="89"/>
      <c r="AF1163" s="1044" t="s">
        <v>441</v>
      </c>
      <c r="AG1163" s="1044" t="s">
        <v>690</v>
      </c>
      <c r="AH1163" s="1044" t="s">
        <v>6</v>
      </c>
      <c r="AI1163" s="1162">
        <v>7080</v>
      </c>
      <c r="AJ1163" s="1162" t="s">
        <v>524</v>
      </c>
      <c r="AK1163" s="1511"/>
      <c r="AL1163" s="89"/>
      <c r="AM1163" s="89"/>
      <c r="AN1163" s="89"/>
      <c r="AO1163" s="89"/>
      <c r="AP1163" s="89"/>
      <c r="AQ1163" s="89"/>
      <c r="AR1163" s="89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  <c r="BM1163" s="58"/>
      <c r="BN1163" s="58"/>
      <c r="BO1163" s="58"/>
      <c r="BP1163" s="58"/>
      <c r="BQ1163" s="58"/>
      <c r="BR1163" s="58"/>
      <c r="BS1163" s="58"/>
      <c r="BT1163" s="58"/>
      <c r="BU1163" s="58"/>
      <c r="BV1163" s="58"/>
      <c r="BW1163" s="58"/>
      <c r="BX1163" s="58"/>
      <c r="BY1163" s="58"/>
      <c r="BZ1163" s="58"/>
      <c r="CA1163" s="58"/>
      <c r="CB1163" s="58"/>
      <c r="CC1163" s="58"/>
      <c r="CD1163" s="58"/>
      <c r="CE1163" s="58"/>
      <c r="CF1163" s="58"/>
      <c r="CG1163" s="58"/>
      <c r="CH1163" s="58"/>
    </row>
    <row r="1164" spans="1:86" s="59" customFormat="1" ht="21.75" hidden="1" customHeight="1" x14ac:dyDescent="0.2">
      <c r="A1164" s="1174"/>
      <c r="B1164" s="1439"/>
      <c r="C1164" s="1245"/>
      <c r="D1164" s="1258"/>
      <c r="E1164" s="2008"/>
      <c r="F1164" s="1258"/>
      <c r="G1164" s="2008"/>
      <c r="H1164" s="89"/>
      <c r="I1164" s="89"/>
      <c r="J1164" s="89"/>
      <c r="K1164" s="89"/>
      <c r="L1164" s="89"/>
      <c r="M1164" s="89"/>
      <c r="N1164" s="89"/>
      <c r="O1164" s="89"/>
      <c r="P1164" s="89"/>
      <c r="Q1164" s="89"/>
      <c r="R1164" s="89"/>
      <c r="S1164" s="209"/>
      <c r="T1164" s="89"/>
      <c r="U1164" s="89"/>
      <c r="V1164" s="89"/>
      <c r="W1164" s="87"/>
      <c r="X1164" s="88"/>
      <c r="Y1164" s="240"/>
      <c r="Z1164" s="89"/>
      <c r="AA1164" s="89"/>
      <c r="AB1164" s="89"/>
      <c r="AC1164" s="89"/>
      <c r="AD1164" s="89"/>
      <c r="AE1164" s="89"/>
      <c r="AF1164" s="1044" t="s">
        <v>441</v>
      </c>
      <c r="AG1164" s="1044" t="s">
        <v>690</v>
      </c>
      <c r="AH1164" s="1040" t="s">
        <v>35</v>
      </c>
      <c r="AI1164" s="1162">
        <v>7</v>
      </c>
      <c r="AJ1164" s="1162" t="s">
        <v>512</v>
      </c>
      <c r="AK1164" s="1512"/>
      <c r="AL1164" s="89"/>
      <c r="AM1164" s="89"/>
      <c r="AN1164" s="89"/>
      <c r="AO1164" s="89"/>
      <c r="AP1164" s="89"/>
      <c r="AQ1164" s="89"/>
      <c r="AR1164" s="89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  <c r="BM1164" s="58"/>
      <c r="BN1164" s="58"/>
      <c r="BO1164" s="58"/>
      <c r="BP1164" s="58"/>
      <c r="BQ1164" s="58"/>
      <c r="BR1164" s="58"/>
      <c r="BS1164" s="58"/>
      <c r="BT1164" s="58"/>
      <c r="BU1164" s="58"/>
      <c r="BV1164" s="58"/>
      <c r="BW1164" s="58"/>
      <c r="BX1164" s="58"/>
      <c r="BY1164" s="58"/>
      <c r="BZ1164" s="58"/>
      <c r="CA1164" s="58"/>
      <c r="CB1164" s="58"/>
      <c r="CC1164" s="58"/>
      <c r="CD1164" s="58"/>
      <c r="CE1164" s="58"/>
      <c r="CF1164" s="58"/>
      <c r="CG1164" s="58"/>
      <c r="CH1164" s="58"/>
    </row>
    <row r="1165" spans="1:86" s="59" customFormat="1" ht="21.75" customHeight="1" x14ac:dyDescent="0.2">
      <c r="A1165" s="1549">
        <v>19</v>
      </c>
      <c r="B1165" s="1355">
        <v>2239782</v>
      </c>
      <c r="C1165" s="1343" t="s">
        <v>105</v>
      </c>
      <c r="D1165" s="1472">
        <v>1.1599999999999999</v>
      </c>
      <c r="E1165" s="1470">
        <v>8136</v>
      </c>
      <c r="F1165" s="1472">
        <v>1.1599999999999999</v>
      </c>
      <c r="G1165" s="1470">
        <v>8136</v>
      </c>
      <c r="H1165" s="89"/>
      <c r="I1165" s="89"/>
      <c r="J1165" s="89"/>
      <c r="K1165" s="89"/>
      <c r="L1165" s="89"/>
      <c r="M1165" s="89"/>
      <c r="N1165" s="89"/>
      <c r="O1165" s="89"/>
      <c r="P1165" s="89"/>
      <c r="Q1165" s="89"/>
      <c r="R1165" s="89"/>
      <c r="S1165" s="209"/>
      <c r="T1165" s="89"/>
      <c r="U1165" s="89"/>
      <c r="V1165" s="89"/>
      <c r="W1165" s="87"/>
      <c r="X1165" s="88"/>
      <c r="Y1165" s="240"/>
      <c r="Z1165" s="89"/>
      <c r="AA1165" s="89"/>
      <c r="AB1165" s="89"/>
      <c r="AC1165" s="89"/>
      <c r="AD1165" s="89"/>
      <c r="AE1165" s="89"/>
      <c r="AF1165" s="1500" t="s">
        <v>441</v>
      </c>
      <c r="AG1165" s="1279" t="s">
        <v>592</v>
      </c>
      <c r="AH1165" s="1279" t="s">
        <v>5</v>
      </c>
      <c r="AI1165" s="42">
        <v>1.1599999999999999</v>
      </c>
      <c r="AJ1165" s="883" t="s">
        <v>2</v>
      </c>
      <c r="AK1165" s="1510">
        <v>20715.3</v>
      </c>
      <c r="AL1165" s="295"/>
      <c r="AM1165" s="89"/>
      <c r="AN1165" s="89"/>
      <c r="AO1165" s="89"/>
      <c r="AP1165" s="89"/>
      <c r="AQ1165" s="89"/>
      <c r="AR1165" s="89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  <c r="BM1165" s="58"/>
      <c r="BN1165" s="58"/>
      <c r="BO1165" s="58"/>
      <c r="BP1165" s="58"/>
      <c r="BQ1165" s="58"/>
      <c r="BR1165" s="58"/>
      <c r="BS1165" s="58"/>
      <c r="BT1165" s="58"/>
      <c r="BU1165" s="58"/>
      <c r="BV1165" s="58"/>
      <c r="BW1165" s="58"/>
      <c r="BX1165" s="58"/>
      <c r="BY1165" s="58"/>
      <c r="BZ1165" s="58"/>
      <c r="CA1165" s="58"/>
      <c r="CB1165" s="58"/>
      <c r="CC1165" s="58"/>
      <c r="CD1165" s="58"/>
      <c r="CE1165" s="58"/>
      <c r="CF1165" s="58"/>
      <c r="CG1165" s="58"/>
      <c r="CH1165" s="58"/>
    </row>
    <row r="1166" spans="1:86" s="59" customFormat="1" ht="21.75" customHeight="1" x14ac:dyDescent="0.2">
      <c r="A1166" s="1684"/>
      <c r="B1166" s="1507"/>
      <c r="C1166" s="1699"/>
      <c r="D1166" s="1543"/>
      <c r="E1166" s="1557"/>
      <c r="F1166" s="1543"/>
      <c r="G1166" s="1557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209"/>
      <c r="T1166" s="89"/>
      <c r="U1166" s="89"/>
      <c r="V1166" s="89"/>
      <c r="W1166" s="87"/>
      <c r="X1166" s="88"/>
      <c r="Y1166" s="240"/>
      <c r="Z1166" s="89"/>
      <c r="AA1166" s="89"/>
      <c r="AB1166" s="89"/>
      <c r="AC1166" s="89"/>
      <c r="AD1166" s="89"/>
      <c r="AE1166" s="89"/>
      <c r="AF1166" s="1501"/>
      <c r="AG1166" s="1261"/>
      <c r="AH1166" s="1268"/>
      <c r="AI1166" s="41">
        <v>8136</v>
      </c>
      <c r="AJ1166" s="883" t="s">
        <v>524</v>
      </c>
      <c r="AK1166" s="1511"/>
      <c r="AL1166" s="89"/>
      <c r="AM1166" s="89"/>
      <c r="AN1166" s="89"/>
      <c r="AO1166" s="89"/>
      <c r="AP1166" s="89"/>
      <c r="AQ1166" s="89"/>
      <c r="AR1166" s="89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  <c r="BM1166" s="58"/>
      <c r="BN1166" s="58"/>
      <c r="BO1166" s="58"/>
      <c r="BP1166" s="58"/>
      <c r="BQ1166" s="58"/>
      <c r="BR1166" s="58"/>
      <c r="BS1166" s="58"/>
      <c r="BT1166" s="58"/>
      <c r="BU1166" s="58"/>
      <c r="BV1166" s="58"/>
      <c r="BW1166" s="58"/>
      <c r="BX1166" s="58"/>
      <c r="BY1166" s="58"/>
      <c r="BZ1166" s="58"/>
      <c r="CA1166" s="58"/>
      <c r="CB1166" s="58"/>
      <c r="CC1166" s="58"/>
      <c r="CD1166" s="58"/>
      <c r="CE1166" s="58"/>
      <c r="CF1166" s="58"/>
      <c r="CG1166" s="58"/>
      <c r="CH1166" s="58"/>
    </row>
    <row r="1167" spans="1:86" s="59" customFormat="1" ht="21.75" hidden="1" customHeight="1" x14ac:dyDescent="0.2">
      <c r="A1167" s="1174"/>
      <c r="B1167" s="1355" t="s">
        <v>309</v>
      </c>
      <c r="C1167" s="1343" t="s">
        <v>108</v>
      </c>
      <c r="D1167" s="1472">
        <v>0.2</v>
      </c>
      <c r="E1167" s="1554">
        <f>D1167*4000</f>
        <v>800</v>
      </c>
      <c r="F1167" s="1472">
        <v>0.2</v>
      </c>
      <c r="G1167" s="1554">
        <f>F1167*4000</f>
        <v>800</v>
      </c>
      <c r="H1167" s="89"/>
      <c r="I1167" s="89"/>
      <c r="J1167" s="89"/>
      <c r="K1167" s="89"/>
      <c r="L1167" s="89"/>
      <c r="M1167" s="89"/>
      <c r="N1167" s="89"/>
      <c r="O1167" s="89"/>
      <c r="P1167" s="89"/>
      <c r="Q1167" s="89"/>
      <c r="R1167" s="89"/>
      <c r="S1167" s="209"/>
      <c r="T1167" s="89"/>
      <c r="U1167" s="89"/>
      <c r="V1167" s="89"/>
      <c r="W1167" s="87"/>
      <c r="X1167" s="88"/>
      <c r="Y1167" s="240"/>
      <c r="Z1167" s="89"/>
      <c r="AA1167" s="89"/>
      <c r="AB1167" s="89"/>
      <c r="AC1167" s="89"/>
      <c r="AD1167" s="89"/>
      <c r="AE1167" s="89"/>
      <c r="AF1167" s="1500" t="s">
        <v>441</v>
      </c>
      <c r="AG1167" s="1302" t="s">
        <v>555</v>
      </c>
      <c r="AH1167" s="1302" t="s">
        <v>5</v>
      </c>
      <c r="AI1167" s="800">
        <v>0.2</v>
      </c>
      <c r="AJ1167" s="1051" t="s">
        <v>2</v>
      </c>
      <c r="AK1167" s="1510">
        <f>AI1167*8000</f>
        <v>1600</v>
      </c>
      <c r="AL1167" s="295"/>
      <c r="AM1167" s="89"/>
      <c r="AN1167" s="89"/>
      <c r="AO1167" s="89"/>
      <c r="AP1167" s="89"/>
      <c r="AQ1167" s="89"/>
      <c r="AR1167" s="89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  <c r="BM1167" s="58"/>
      <c r="BN1167" s="58"/>
      <c r="BO1167" s="58"/>
      <c r="BP1167" s="58"/>
      <c r="BQ1167" s="58"/>
      <c r="BR1167" s="58"/>
      <c r="BS1167" s="58"/>
      <c r="BT1167" s="58"/>
      <c r="BU1167" s="58"/>
      <c r="BV1167" s="58"/>
      <c r="BW1167" s="58"/>
      <c r="BX1167" s="58"/>
      <c r="BY1167" s="58"/>
      <c r="BZ1167" s="58"/>
      <c r="CA1167" s="58"/>
      <c r="CB1167" s="58"/>
      <c r="CC1167" s="58"/>
      <c r="CD1167" s="58"/>
      <c r="CE1167" s="58"/>
      <c r="CF1167" s="58"/>
      <c r="CG1167" s="58"/>
      <c r="CH1167" s="58"/>
    </row>
    <row r="1168" spans="1:86" s="59" customFormat="1" ht="21.75" hidden="1" customHeight="1" x14ac:dyDescent="0.2">
      <c r="A1168" s="1174"/>
      <c r="B1168" s="1507"/>
      <c r="C1168" s="1699"/>
      <c r="D1168" s="1543"/>
      <c r="E1168" s="1555"/>
      <c r="F1168" s="1543"/>
      <c r="G1168" s="1555"/>
      <c r="H1168" s="89"/>
      <c r="I1168" s="89"/>
      <c r="J1168" s="89"/>
      <c r="K1168" s="89"/>
      <c r="L1168" s="89"/>
      <c r="M1168" s="89"/>
      <c r="N1168" s="89"/>
      <c r="O1168" s="89"/>
      <c r="P1168" s="89"/>
      <c r="Q1168" s="89"/>
      <c r="R1168" s="89"/>
      <c r="S1168" s="209"/>
      <c r="T1168" s="89"/>
      <c r="U1168" s="89"/>
      <c r="V1168" s="89"/>
      <c r="W1168" s="87"/>
      <c r="X1168" s="88"/>
      <c r="Y1168" s="240"/>
      <c r="Z1168" s="89"/>
      <c r="AA1168" s="89"/>
      <c r="AB1168" s="89"/>
      <c r="AC1168" s="89"/>
      <c r="AD1168" s="89"/>
      <c r="AE1168" s="89"/>
      <c r="AF1168" s="1501"/>
      <c r="AG1168" s="1267"/>
      <c r="AH1168" s="1293"/>
      <c r="AI1168" s="1051">
        <f>AI1167*400</f>
        <v>80</v>
      </c>
      <c r="AJ1168" s="1051" t="s">
        <v>524</v>
      </c>
      <c r="AK1168" s="1511"/>
      <c r="AL1168" s="89"/>
      <c r="AM1168" s="89"/>
      <c r="AN1168" s="89"/>
      <c r="AO1168" s="89"/>
      <c r="AP1168" s="89"/>
      <c r="AQ1168" s="89"/>
      <c r="AR1168" s="89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  <c r="BM1168" s="58"/>
      <c r="BN1168" s="58"/>
      <c r="BO1168" s="58"/>
      <c r="BP1168" s="58"/>
      <c r="BQ1168" s="58"/>
      <c r="BR1168" s="58"/>
      <c r="BS1168" s="58"/>
      <c r="BT1168" s="58"/>
      <c r="BU1168" s="58"/>
      <c r="BV1168" s="58"/>
      <c r="BW1168" s="58"/>
      <c r="BX1168" s="58"/>
      <c r="BY1168" s="58"/>
      <c r="BZ1168" s="58"/>
      <c r="CA1168" s="58"/>
      <c r="CB1168" s="58"/>
      <c r="CC1168" s="58"/>
      <c r="CD1168" s="58"/>
      <c r="CE1168" s="58"/>
      <c r="CF1168" s="58"/>
      <c r="CG1168" s="58"/>
      <c r="CH1168" s="58"/>
    </row>
    <row r="1169" spans="1:86" s="59" customFormat="1" ht="21.75" hidden="1" customHeight="1" x14ac:dyDescent="0.2">
      <c r="A1169" s="1174"/>
      <c r="B1169" s="1356"/>
      <c r="C1169" s="1273"/>
      <c r="D1169" s="1473"/>
      <c r="E1169" s="1556"/>
      <c r="F1169" s="1473"/>
      <c r="G1169" s="1556"/>
      <c r="H1169" s="89"/>
      <c r="I1169" s="89"/>
      <c r="J1169" s="89"/>
      <c r="K1169" s="89"/>
      <c r="L1169" s="89"/>
      <c r="M1169" s="89"/>
      <c r="N1169" s="89"/>
      <c r="O1169" s="89"/>
      <c r="P1169" s="89"/>
      <c r="Q1169" s="89"/>
      <c r="R1169" s="89"/>
      <c r="S1169" s="209"/>
      <c r="T1169" s="89"/>
      <c r="U1169" s="89"/>
      <c r="V1169" s="89"/>
      <c r="W1169" s="87"/>
      <c r="X1169" s="88"/>
      <c r="Y1169" s="240"/>
      <c r="Z1169" s="89"/>
      <c r="AA1169" s="89"/>
      <c r="AB1169" s="89"/>
      <c r="AC1169" s="89"/>
      <c r="AD1169" s="89"/>
      <c r="AE1169" s="89"/>
      <c r="AF1169" s="1502"/>
      <c r="AG1169" s="1293"/>
      <c r="AH1169" s="1051" t="s">
        <v>35</v>
      </c>
      <c r="AI1169" s="1051">
        <v>2</v>
      </c>
      <c r="AJ1169" s="1051" t="s">
        <v>512</v>
      </c>
      <c r="AK1169" s="1512"/>
      <c r="AL1169" s="89"/>
      <c r="AM1169" s="89"/>
      <c r="AN1169" s="89"/>
      <c r="AO1169" s="89"/>
      <c r="AP1169" s="89"/>
      <c r="AQ1169" s="89"/>
      <c r="AR1169" s="89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  <c r="BM1169" s="58"/>
      <c r="BN1169" s="58"/>
      <c r="BO1169" s="58"/>
      <c r="BP1169" s="58"/>
      <c r="BQ1169" s="58"/>
      <c r="BR1169" s="58"/>
      <c r="BS1169" s="58"/>
      <c r="BT1169" s="58"/>
      <c r="BU1169" s="58"/>
      <c r="BV1169" s="58"/>
      <c r="BW1169" s="58"/>
      <c r="BX1169" s="58"/>
      <c r="BY1169" s="58"/>
      <c r="BZ1169" s="58"/>
      <c r="CA1169" s="58"/>
      <c r="CB1169" s="58"/>
      <c r="CC1169" s="58"/>
      <c r="CD1169" s="58"/>
      <c r="CE1169" s="58"/>
      <c r="CF1169" s="58"/>
      <c r="CG1169" s="58"/>
      <c r="CH1169" s="58"/>
    </row>
    <row r="1170" spans="1:86" s="59" customFormat="1" ht="21.75" hidden="1" customHeight="1" x14ac:dyDescent="0.2">
      <c r="A1170" s="1174"/>
      <c r="B1170" s="1355">
        <v>2246859</v>
      </c>
      <c r="C1170" s="1343" t="s">
        <v>109</v>
      </c>
      <c r="D1170" s="1472">
        <v>0.85</v>
      </c>
      <c r="E1170" s="1554">
        <v>5740</v>
      </c>
      <c r="F1170" s="1472">
        <v>0.85</v>
      </c>
      <c r="G1170" s="1554">
        <v>5740</v>
      </c>
      <c r="H1170" s="89"/>
      <c r="I1170" s="89"/>
      <c r="J1170" s="89"/>
      <c r="K1170" s="89"/>
      <c r="L1170" s="89"/>
      <c r="M1170" s="89"/>
      <c r="N1170" s="89"/>
      <c r="O1170" s="89"/>
      <c r="P1170" s="89"/>
      <c r="Q1170" s="89"/>
      <c r="R1170" s="89"/>
      <c r="S1170" s="209"/>
      <c r="T1170" s="89"/>
      <c r="U1170" s="89"/>
      <c r="V1170" s="89"/>
      <c r="W1170" s="87"/>
      <c r="X1170" s="88"/>
      <c r="Y1170" s="240"/>
      <c r="Z1170" s="89"/>
      <c r="AA1170" s="89"/>
      <c r="AB1170" s="89"/>
      <c r="AC1170" s="89"/>
      <c r="AD1170" s="89"/>
      <c r="AE1170" s="89"/>
      <c r="AF1170" s="1500" t="s">
        <v>593</v>
      </c>
      <c r="AG1170" s="1302" t="s">
        <v>594</v>
      </c>
      <c r="AH1170" s="1302" t="s">
        <v>5</v>
      </c>
      <c r="AI1170" s="800">
        <v>0.35599999999999998</v>
      </c>
      <c r="AJ1170" s="1051" t="s">
        <v>2</v>
      </c>
      <c r="AK1170" s="1510">
        <f>AI1170*8000</f>
        <v>2848</v>
      </c>
      <c r="AL1170" s="295"/>
      <c r="AM1170" s="89"/>
      <c r="AN1170" s="89"/>
      <c r="AO1170" s="89"/>
      <c r="AP1170" s="89"/>
      <c r="AQ1170" s="89"/>
      <c r="AR1170" s="89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  <c r="BM1170" s="58"/>
      <c r="BN1170" s="58"/>
      <c r="BO1170" s="58"/>
      <c r="BP1170" s="58"/>
      <c r="BQ1170" s="58"/>
      <c r="BR1170" s="58"/>
      <c r="BS1170" s="58"/>
      <c r="BT1170" s="58"/>
      <c r="BU1170" s="58"/>
      <c r="BV1170" s="58"/>
      <c r="BW1170" s="58"/>
      <c r="BX1170" s="58"/>
      <c r="BY1170" s="58"/>
      <c r="BZ1170" s="58"/>
      <c r="CA1170" s="58"/>
      <c r="CB1170" s="58"/>
      <c r="CC1170" s="58"/>
      <c r="CD1170" s="58"/>
      <c r="CE1170" s="58"/>
      <c r="CF1170" s="58"/>
      <c r="CG1170" s="58"/>
      <c r="CH1170" s="58"/>
    </row>
    <row r="1171" spans="1:86" s="59" customFormat="1" ht="21.75" hidden="1" customHeight="1" x14ac:dyDescent="0.2">
      <c r="A1171" s="1174"/>
      <c r="B1171" s="1507"/>
      <c r="C1171" s="1699"/>
      <c r="D1171" s="1543"/>
      <c r="E1171" s="1555"/>
      <c r="F1171" s="1543"/>
      <c r="G1171" s="1555"/>
      <c r="H1171" s="89"/>
      <c r="I1171" s="89"/>
      <c r="J1171" s="89"/>
      <c r="K1171" s="89"/>
      <c r="L1171" s="89"/>
      <c r="M1171" s="89"/>
      <c r="N1171" s="89"/>
      <c r="O1171" s="89"/>
      <c r="P1171" s="89"/>
      <c r="Q1171" s="89"/>
      <c r="R1171" s="89"/>
      <c r="S1171" s="209"/>
      <c r="T1171" s="89"/>
      <c r="U1171" s="89"/>
      <c r="V1171" s="89"/>
      <c r="W1171" s="87"/>
      <c r="X1171" s="88"/>
      <c r="Y1171" s="240"/>
      <c r="Z1171" s="89"/>
      <c r="AA1171" s="89"/>
      <c r="AB1171" s="89"/>
      <c r="AC1171" s="89"/>
      <c r="AD1171" s="89"/>
      <c r="AE1171" s="89"/>
      <c r="AF1171" s="1501"/>
      <c r="AG1171" s="1267"/>
      <c r="AH1171" s="1293"/>
      <c r="AI1171" s="1051">
        <f>AI1170*6753</f>
        <v>2404.0679999999998</v>
      </c>
      <c r="AJ1171" s="1051" t="s">
        <v>524</v>
      </c>
      <c r="AK1171" s="1511"/>
      <c r="AL1171" s="89"/>
      <c r="AM1171" s="89"/>
      <c r="AN1171" s="89"/>
      <c r="AO1171" s="89"/>
      <c r="AP1171" s="89"/>
      <c r="AQ1171" s="89"/>
      <c r="AR1171" s="89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  <c r="BM1171" s="58"/>
      <c r="BN1171" s="58"/>
      <c r="BO1171" s="58"/>
      <c r="BP1171" s="58"/>
      <c r="BQ1171" s="58"/>
      <c r="BR1171" s="58"/>
      <c r="BS1171" s="58"/>
      <c r="BT1171" s="58"/>
      <c r="BU1171" s="58"/>
      <c r="BV1171" s="58"/>
      <c r="BW1171" s="58"/>
      <c r="BX1171" s="58"/>
      <c r="BY1171" s="58"/>
      <c r="BZ1171" s="58"/>
      <c r="CA1171" s="58"/>
      <c r="CB1171" s="58"/>
      <c r="CC1171" s="58"/>
      <c r="CD1171" s="58"/>
      <c r="CE1171" s="58"/>
      <c r="CF1171" s="58"/>
      <c r="CG1171" s="58"/>
      <c r="CH1171" s="58"/>
    </row>
    <row r="1172" spans="1:86" s="59" customFormat="1" ht="21.75" hidden="1" customHeight="1" x14ac:dyDescent="0.2">
      <c r="A1172" s="1174"/>
      <c r="B1172" s="1356"/>
      <c r="C1172" s="1273"/>
      <c r="D1172" s="1473"/>
      <c r="E1172" s="1556"/>
      <c r="F1172" s="1473"/>
      <c r="G1172" s="1556"/>
      <c r="H1172" s="89"/>
      <c r="I1172" s="89"/>
      <c r="J1172" s="89"/>
      <c r="K1172" s="89"/>
      <c r="L1172" s="89"/>
      <c r="M1172" s="89"/>
      <c r="N1172" s="89"/>
      <c r="O1172" s="89"/>
      <c r="P1172" s="89"/>
      <c r="Q1172" s="89"/>
      <c r="R1172" s="89"/>
      <c r="S1172" s="209"/>
      <c r="T1172" s="89"/>
      <c r="U1172" s="89"/>
      <c r="V1172" s="89"/>
      <c r="W1172" s="87"/>
      <c r="X1172" s="88"/>
      <c r="Y1172" s="240"/>
      <c r="Z1172" s="89"/>
      <c r="AA1172" s="89"/>
      <c r="AB1172" s="89"/>
      <c r="AC1172" s="89"/>
      <c r="AD1172" s="89"/>
      <c r="AE1172" s="89"/>
      <c r="AF1172" s="1502"/>
      <c r="AG1172" s="1293"/>
      <c r="AH1172" s="1051" t="s">
        <v>35</v>
      </c>
      <c r="AI1172" s="1051">
        <v>2</v>
      </c>
      <c r="AJ1172" s="1051" t="s">
        <v>512</v>
      </c>
      <c r="AK1172" s="1512"/>
      <c r="AL1172" s="89"/>
      <c r="AM1172" s="89"/>
      <c r="AN1172" s="89"/>
      <c r="AO1172" s="89"/>
      <c r="AP1172" s="89"/>
      <c r="AQ1172" s="89"/>
      <c r="AR1172" s="89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  <c r="BM1172" s="58"/>
      <c r="BN1172" s="58"/>
      <c r="BO1172" s="58"/>
      <c r="BP1172" s="58"/>
      <c r="BQ1172" s="58"/>
      <c r="BR1172" s="58"/>
      <c r="BS1172" s="58"/>
      <c r="BT1172" s="58"/>
      <c r="BU1172" s="58"/>
      <c r="BV1172" s="58"/>
      <c r="BW1172" s="58"/>
      <c r="BX1172" s="58"/>
      <c r="BY1172" s="58"/>
      <c r="BZ1172" s="58"/>
      <c r="CA1172" s="58"/>
      <c r="CB1172" s="58"/>
      <c r="CC1172" s="58"/>
      <c r="CD1172" s="58"/>
      <c r="CE1172" s="58"/>
      <c r="CF1172" s="58"/>
      <c r="CG1172" s="58"/>
      <c r="CH1172" s="58"/>
    </row>
    <row r="1173" spans="1:86" s="59" customFormat="1" ht="21.75" hidden="1" customHeight="1" x14ac:dyDescent="0.2">
      <c r="A1173" s="1174"/>
      <c r="B1173" s="1355">
        <v>2241930</v>
      </c>
      <c r="C1173" s="1343" t="s">
        <v>112</v>
      </c>
      <c r="D1173" s="1472">
        <v>1.1399999999999999</v>
      </c>
      <c r="E1173" s="1554">
        <v>5380</v>
      </c>
      <c r="F1173" s="1472">
        <v>1.1399999999999999</v>
      </c>
      <c r="G1173" s="1554">
        <v>5380</v>
      </c>
      <c r="H1173" s="89"/>
      <c r="I1173" s="89"/>
      <c r="J1173" s="89"/>
      <c r="K1173" s="89"/>
      <c r="L1173" s="89"/>
      <c r="M1173" s="89"/>
      <c r="N1173" s="89"/>
      <c r="O1173" s="89"/>
      <c r="P1173" s="89"/>
      <c r="Q1173" s="89"/>
      <c r="R1173" s="89"/>
      <c r="S1173" s="209"/>
      <c r="T1173" s="89"/>
      <c r="U1173" s="89"/>
      <c r="V1173" s="89"/>
      <c r="W1173" s="87"/>
      <c r="X1173" s="88"/>
      <c r="Y1173" s="240"/>
      <c r="Z1173" s="89"/>
      <c r="AA1173" s="89"/>
      <c r="AB1173" s="89"/>
      <c r="AC1173" s="89"/>
      <c r="AD1173" s="89"/>
      <c r="AE1173" s="89"/>
      <c r="AF1173" s="1355" t="s">
        <v>529</v>
      </c>
      <c r="AG1173" s="1302" t="s">
        <v>595</v>
      </c>
      <c r="AH1173" s="1302" t="s">
        <v>5</v>
      </c>
      <c r="AI1173" s="800">
        <v>0.29899999999999999</v>
      </c>
      <c r="AJ1173" s="1051" t="s">
        <v>2</v>
      </c>
      <c r="AK1173" s="1510">
        <f>AI1173*8000</f>
        <v>2392</v>
      </c>
      <c r="AL1173" s="295"/>
      <c r="AM1173" s="89"/>
      <c r="AN1173" s="89"/>
      <c r="AO1173" s="89"/>
      <c r="AP1173" s="89"/>
      <c r="AQ1173" s="89"/>
      <c r="AR1173" s="89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  <c r="BM1173" s="58"/>
      <c r="BN1173" s="58"/>
      <c r="BO1173" s="58"/>
      <c r="BP1173" s="58"/>
      <c r="BQ1173" s="58"/>
      <c r="BR1173" s="58"/>
      <c r="BS1173" s="58"/>
      <c r="BT1173" s="58"/>
      <c r="BU1173" s="58"/>
      <c r="BV1173" s="58"/>
      <c r="BW1173" s="58"/>
      <c r="BX1173" s="58"/>
      <c r="BY1173" s="58"/>
      <c r="BZ1173" s="58"/>
      <c r="CA1173" s="58"/>
      <c r="CB1173" s="58"/>
      <c r="CC1173" s="58"/>
      <c r="CD1173" s="58"/>
      <c r="CE1173" s="58"/>
      <c r="CF1173" s="58"/>
      <c r="CG1173" s="58"/>
      <c r="CH1173" s="58"/>
    </row>
    <row r="1174" spans="1:86" s="59" customFormat="1" ht="21.75" hidden="1" customHeight="1" x14ac:dyDescent="0.2">
      <c r="A1174" s="1174"/>
      <c r="B1174" s="1507"/>
      <c r="C1174" s="1699"/>
      <c r="D1174" s="1543"/>
      <c r="E1174" s="1555"/>
      <c r="F1174" s="1543"/>
      <c r="G1174" s="1555"/>
      <c r="H1174" s="89"/>
      <c r="I1174" s="89"/>
      <c r="J1174" s="89"/>
      <c r="K1174" s="89"/>
      <c r="L1174" s="89"/>
      <c r="M1174" s="89"/>
      <c r="N1174" s="89"/>
      <c r="O1174" s="89"/>
      <c r="P1174" s="89"/>
      <c r="Q1174" s="89"/>
      <c r="R1174" s="89"/>
      <c r="S1174" s="209"/>
      <c r="T1174" s="89"/>
      <c r="U1174" s="89"/>
      <c r="V1174" s="89"/>
      <c r="W1174" s="87"/>
      <c r="X1174" s="88"/>
      <c r="Y1174" s="240"/>
      <c r="Z1174" s="89"/>
      <c r="AA1174" s="89"/>
      <c r="AB1174" s="89"/>
      <c r="AC1174" s="89"/>
      <c r="AD1174" s="89"/>
      <c r="AE1174" s="89"/>
      <c r="AF1174" s="1507"/>
      <c r="AG1174" s="1267"/>
      <c r="AH1174" s="1293"/>
      <c r="AI1174" s="1051">
        <f>AI1173*4719</f>
        <v>1410.981</v>
      </c>
      <c r="AJ1174" s="1051" t="s">
        <v>524</v>
      </c>
      <c r="AK1174" s="1511"/>
      <c r="AL1174" s="89"/>
      <c r="AM1174" s="89"/>
      <c r="AN1174" s="89"/>
      <c r="AO1174" s="89"/>
      <c r="AP1174" s="89"/>
      <c r="AQ1174" s="89"/>
      <c r="AR1174" s="89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  <c r="BM1174" s="58"/>
      <c r="BN1174" s="58"/>
      <c r="BO1174" s="58"/>
      <c r="BP1174" s="58"/>
      <c r="BQ1174" s="58"/>
      <c r="BR1174" s="58"/>
      <c r="BS1174" s="58"/>
      <c r="BT1174" s="58"/>
      <c r="BU1174" s="58"/>
      <c r="BV1174" s="58"/>
      <c r="BW1174" s="58"/>
      <c r="BX1174" s="58"/>
      <c r="BY1174" s="58"/>
      <c r="BZ1174" s="58"/>
      <c r="CA1174" s="58"/>
      <c r="CB1174" s="58"/>
      <c r="CC1174" s="58"/>
      <c r="CD1174" s="58"/>
      <c r="CE1174" s="58"/>
      <c r="CF1174" s="58"/>
      <c r="CG1174" s="58"/>
      <c r="CH1174" s="58"/>
    </row>
    <row r="1175" spans="1:86" s="59" customFormat="1" ht="21.75" hidden="1" customHeight="1" x14ac:dyDescent="0.2">
      <c r="A1175" s="1174"/>
      <c r="B1175" s="1356"/>
      <c r="C1175" s="1273"/>
      <c r="D1175" s="1473"/>
      <c r="E1175" s="1556"/>
      <c r="F1175" s="1473"/>
      <c r="G1175" s="1556"/>
      <c r="H1175" s="89"/>
      <c r="I1175" s="89"/>
      <c r="J1175" s="89"/>
      <c r="K1175" s="89"/>
      <c r="L1175" s="89"/>
      <c r="M1175" s="89"/>
      <c r="N1175" s="89"/>
      <c r="O1175" s="89"/>
      <c r="P1175" s="89"/>
      <c r="Q1175" s="89"/>
      <c r="R1175" s="89"/>
      <c r="S1175" s="209"/>
      <c r="T1175" s="89"/>
      <c r="U1175" s="89"/>
      <c r="V1175" s="89"/>
      <c r="W1175" s="87"/>
      <c r="X1175" s="88"/>
      <c r="Y1175" s="240"/>
      <c r="Z1175" s="89"/>
      <c r="AA1175" s="89"/>
      <c r="AB1175" s="89"/>
      <c r="AC1175" s="89"/>
      <c r="AD1175" s="89"/>
      <c r="AE1175" s="89"/>
      <c r="AF1175" s="1356"/>
      <c r="AG1175" s="1293"/>
      <c r="AH1175" s="1051" t="s">
        <v>35</v>
      </c>
      <c r="AI1175" s="1051">
        <v>2</v>
      </c>
      <c r="AJ1175" s="1051" t="s">
        <v>512</v>
      </c>
      <c r="AK1175" s="1512"/>
      <c r="AL1175" s="89"/>
      <c r="AM1175" s="89"/>
      <c r="AN1175" s="89"/>
      <c r="AO1175" s="89"/>
      <c r="AP1175" s="89"/>
      <c r="AQ1175" s="89"/>
      <c r="AR1175" s="89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  <c r="BM1175" s="58"/>
      <c r="BN1175" s="58"/>
      <c r="BO1175" s="58"/>
      <c r="BP1175" s="58"/>
      <c r="BQ1175" s="58"/>
      <c r="BR1175" s="58"/>
      <c r="BS1175" s="58"/>
      <c r="BT1175" s="58"/>
      <c r="BU1175" s="58"/>
      <c r="BV1175" s="58"/>
      <c r="BW1175" s="58"/>
      <c r="BX1175" s="58"/>
      <c r="BY1175" s="58"/>
      <c r="BZ1175" s="58"/>
      <c r="CA1175" s="58"/>
      <c r="CB1175" s="58"/>
      <c r="CC1175" s="58"/>
      <c r="CD1175" s="58"/>
      <c r="CE1175" s="58"/>
      <c r="CF1175" s="58"/>
      <c r="CG1175" s="58"/>
      <c r="CH1175" s="58"/>
    </row>
    <row r="1176" spans="1:86" s="59" customFormat="1" ht="21.75" customHeight="1" x14ac:dyDescent="0.2">
      <c r="A1176" s="1549">
        <v>20</v>
      </c>
      <c r="B1176" s="1355">
        <v>2242560</v>
      </c>
      <c r="C1176" s="1343" t="s">
        <v>113</v>
      </c>
      <c r="D1176" s="1472">
        <v>3.09</v>
      </c>
      <c r="E1176" s="1554">
        <v>12960</v>
      </c>
      <c r="F1176" s="1472">
        <v>3.09</v>
      </c>
      <c r="G1176" s="1554">
        <v>12960</v>
      </c>
      <c r="H1176" s="89"/>
      <c r="I1176" s="89"/>
      <c r="J1176" s="89"/>
      <c r="K1176" s="89"/>
      <c r="L1176" s="89"/>
      <c r="M1176" s="89"/>
      <c r="N1176" s="89"/>
      <c r="O1176" s="89"/>
      <c r="P1176" s="89"/>
      <c r="Q1176" s="89"/>
      <c r="R1176" s="89"/>
      <c r="S1176" s="209"/>
      <c r="T1176" s="89"/>
      <c r="U1176" s="89"/>
      <c r="V1176" s="89"/>
      <c r="W1176" s="87"/>
      <c r="X1176" s="88"/>
      <c r="Y1176" s="240"/>
      <c r="Z1176" s="89"/>
      <c r="AA1176" s="89"/>
      <c r="AB1176" s="89"/>
      <c r="AC1176" s="89"/>
      <c r="AD1176" s="89"/>
      <c r="AE1176" s="89"/>
      <c r="AF1176" s="214"/>
      <c r="AG1176" s="45"/>
      <c r="AH1176" s="45"/>
      <c r="AI1176" s="800"/>
      <c r="AJ1176" s="1051"/>
      <c r="AK1176" s="503"/>
      <c r="AL1176" s="1355" t="s">
        <v>441</v>
      </c>
      <c r="AM1176" s="1302" t="s">
        <v>1535</v>
      </c>
      <c r="AN1176" s="1302" t="s">
        <v>5</v>
      </c>
      <c r="AO1176" s="800">
        <v>0.27100000000000002</v>
      </c>
      <c r="AP1176" s="1051" t="s">
        <v>2</v>
      </c>
      <c r="AQ1176" s="1510">
        <v>3418.9229999999998</v>
      </c>
      <c r="AR1176" s="89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  <c r="BM1176" s="58"/>
      <c r="BN1176" s="58"/>
      <c r="BO1176" s="58"/>
      <c r="BP1176" s="58"/>
      <c r="BQ1176" s="58"/>
      <c r="BR1176" s="58"/>
      <c r="BS1176" s="58"/>
      <c r="BT1176" s="58"/>
      <c r="BU1176" s="58"/>
      <c r="BV1176" s="58"/>
      <c r="BW1176" s="58"/>
      <c r="BX1176" s="58"/>
      <c r="BY1176" s="58"/>
      <c r="BZ1176" s="58"/>
      <c r="CA1176" s="58"/>
      <c r="CB1176" s="58"/>
      <c r="CC1176" s="58"/>
      <c r="CD1176" s="58"/>
      <c r="CE1176" s="58"/>
      <c r="CF1176" s="58"/>
      <c r="CG1176" s="58"/>
      <c r="CH1176" s="58"/>
    </row>
    <row r="1177" spans="1:86" s="59" customFormat="1" ht="21.75" customHeight="1" x14ac:dyDescent="0.2">
      <c r="A1177" s="1509"/>
      <c r="B1177" s="1507"/>
      <c r="C1177" s="1699"/>
      <c r="D1177" s="1543"/>
      <c r="E1177" s="1555"/>
      <c r="F1177" s="1543"/>
      <c r="G1177" s="1555"/>
      <c r="H1177" s="89"/>
      <c r="I1177" s="89"/>
      <c r="J1177" s="89"/>
      <c r="K1177" s="89"/>
      <c r="L1177" s="89"/>
      <c r="M1177" s="89"/>
      <c r="N1177" s="89"/>
      <c r="O1177" s="89"/>
      <c r="P1177" s="89"/>
      <c r="Q1177" s="89"/>
      <c r="R1177" s="89"/>
      <c r="S1177" s="209"/>
      <c r="T1177" s="89"/>
      <c r="U1177" s="89"/>
      <c r="V1177" s="89"/>
      <c r="W1177" s="87"/>
      <c r="X1177" s="88"/>
      <c r="Y1177" s="240"/>
      <c r="Z1177" s="89"/>
      <c r="AA1177" s="89"/>
      <c r="AB1177" s="89"/>
      <c r="AC1177" s="89"/>
      <c r="AD1177" s="89"/>
      <c r="AE1177" s="89"/>
      <c r="AF1177" s="214"/>
      <c r="AG1177" s="45"/>
      <c r="AH1177" s="45"/>
      <c r="AI1177" s="43"/>
      <c r="AJ1177" s="1051"/>
      <c r="AK1177" s="503"/>
      <c r="AL1177" s="1507"/>
      <c r="AM1177" s="1267"/>
      <c r="AN1177" s="1293"/>
      <c r="AO1177" s="43">
        <f>G1176/F1176*AO1176</f>
        <v>1136.6213592233012</v>
      </c>
      <c r="AP1177" s="1051" t="s">
        <v>524</v>
      </c>
      <c r="AQ1177" s="1511"/>
      <c r="AR1177" s="89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  <c r="BM1177" s="58"/>
      <c r="BN1177" s="58"/>
      <c r="BO1177" s="58"/>
      <c r="BP1177" s="58"/>
      <c r="BQ1177" s="58"/>
      <c r="BR1177" s="58"/>
      <c r="BS1177" s="58"/>
      <c r="BT1177" s="58"/>
      <c r="BU1177" s="58"/>
      <c r="BV1177" s="58"/>
      <c r="BW1177" s="58"/>
      <c r="BX1177" s="58"/>
      <c r="BY1177" s="58"/>
      <c r="BZ1177" s="58"/>
      <c r="CA1177" s="58"/>
      <c r="CB1177" s="58"/>
      <c r="CC1177" s="58"/>
      <c r="CD1177" s="58"/>
      <c r="CE1177" s="58"/>
      <c r="CF1177" s="58"/>
      <c r="CG1177" s="58"/>
      <c r="CH1177" s="58"/>
    </row>
    <row r="1178" spans="1:86" s="59" customFormat="1" ht="21.75" hidden="1" customHeight="1" x14ac:dyDescent="0.2">
      <c r="A1178" s="1174"/>
      <c r="B1178" s="1356"/>
      <c r="C1178" s="1273"/>
      <c r="D1178" s="1473"/>
      <c r="E1178" s="1556"/>
      <c r="F1178" s="1473"/>
      <c r="G1178" s="1556"/>
      <c r="H1178" s="89"/>
      <c r="I1178" s="89"/>
      <c r="J1178" s="89"/>
      <c r="K1178" s="89"/>
      <c r="L1178" s="89"/>
      <c r="M1178" s="89"/>
      <c r="N1178" s="89"/>
      <c r="O1178" s="89"/>
      <c r="P1178" s="89"/>
      <c r="Q1178" s="89"/>
      <c r="R1178" s="89"/>
      <c r="S1178" s="209"/>
      <c r="T1178" s="89"/>
      <c r="U1178" s="89"/>
      <c r="V1178" s="89"/>
      <c r="W1178" s="87"/>
      <c r="X1178" s="88"/>
      <c r="Y1178" s="240"/>
      <c r="Z1178" s="89"/>
      <c r="AA1178" s="89"/>
      <c r="AB1178" s="89"/>
      <c r="AC1178" s="89"/>
      <c r="AD1178" s="89"/>
      <c r="AE1178" s="89"/>
      <c r="AF1178" s="214"/>
      <c r="AG1178" s="45"/>
      <c r="AH1178" s="1051"/>
      <c r="AI1178" s="1051"/>
      <c r="AJ1178" s="1051"/>
      <c r="AK1178" s="503"/>
      <c r="AL1178" s="1356"/>
      <c r="AM1178" s="1293"/>
      <c r="AN1178" s="1051" t="s">
        <v>35</v>
      </c>
      <c r="AO1178" s="1051">
        <v>12</v>
      </c>
      <c r="AP1178" s="1051" t="s">
        <v>512</v>
      </c>
      <c r="AQ1178" s="1512"/>
      <c r="AR1178" s="89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  <c r="BM1178" s="58"/>
      <c r="BN1178" s="58"/>
      <c r="BO1178" s="58"/>
      <c r="BP1178" s="58"/>
      <c r="BQ1178" s="58"/>
      <c r="BR1178" s="58"/>
      <c r="BS1178" s="58"/>
      <c r="BT1178" s="58"/>
      <c r="BU1178" s="58"/>
      <c r="BV1178" s="58"/>
      <c r="BW1178" s="58"/>
      <c r="BX1178" s="58"/>
      <c r="BY1178" s="58"/>
      <c r="BZ1178" s="58"/>
      <c r="CA1178" s="58"/>
      <c r="CB1178" s="58"/>
      <c r="CC1178" s="58"/>
      <c r="CD1178" s="58"/>
      <c r="CE1178" s="58"/>
      <c r="CF1178" s="58"/>
      <c r="CG1178" s="58"/>
      <c r="CH1178" s="58"/>
    </row>
    <row r="1179" spans="1:86" s="59" customFormat="1" ht="21.75" customHeight="1" x14ac:dyDescent="0.2">
      <c r="A1179" s="1549">
        <v>21</v>
      </c>
      <c r="B1179" s="1355" t="s">
        <v>310</v>
      </c>
      <c r="C1179" s="1343" t="s">
        <v>114</v>
      </c>
      <c r="D1179" s="1472">
        <v>1.43</v>
      </c>
      <c r="E1179" s="1554">
        <v>5880</v>
      </c>
      <c r="F1179" s="1472">
        <v>1.43</v>
      </c>
      <c r="G1179" s="1554">
        <v>5880</v>
      </c>
      <c r="H1179" s="89"/>
      <c r="I1179" s="89"/>
      <c r="J1179" s="89"/>
      <c r="K1179" s="89"/>
      <c r="L1179" s="89"/>
      <c r="M1179" s="89"/>
      <c r="N1179" s="89"/>
      <c r="O1179" s="89"/>
      <c r="P1179" s="89"/>
      <c r="Q1179" s="89"/>
      <c r="R1179" s="89"/>
      <c r="S1179" s="209"/>
      <c r="T1179" s="89"/>
      <c r="U1179" s="89"/>
      <c r="V1179" s="89"/>
      <c r="W1179" s="87"/>
      <c r="X1179" s="88"/>
      <c r="Y1179" s="240"/>
      <c r="Z1179" s="88"/>
      <c r="AA1179" s="88"/>
      <c r="AB1179" s="88"/>
      <c r="AC1179" s="88"/>
      <c r="AD1179" s="88"/>
      <c r="AE1179" s="88"/>
      <c r="AF1179" s="214"/>
      <c r="AG1179" s="45"/>
      <c r="AH1179" s="45"/>
      <c r="AI1179" s="800"/>
      <c r="AJ1179" s="1051"/>
      <c r="AK1179" s="44"/>
      <c r="AL1179" s="1355" t="s">
        <v>596</v>
      </c>
      <c r="AM1179" s="1302" t="s">
        <v>597</v>
      </c>
      <c r="AN1179" s="1302" t="s">
        <v>5</v>
      </c>
      <c r="AO1179" s="800">
        <v>1.0009999999999999</v>
      </c>
      <c r="AP1179" s="1051" t="s">
        <v>2</v>
      </c>
      <c r="AQ1179" s="1735">
        <f>AO1179*14000</f>
        <v>14013.999999999998</v>
      </c>
      <c r="AR1179" s="295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  <c r="BM1179" s="58"/>
      <c r="BN1179" s="58"/>
      <c r="BO1179" s="58"/>
      <c r="BP1179" s="58"/>
      <c r="BQ1179" s="58"/>
      <c r="BR1179" s="58"/>
      <c r="BS1179" s="58"/>
      <c r="BT1179" s="58"/>
      <c r="BU1179" s="58"/>
      <c r="BV1179" s="58"/>
      <c r="BW1179" s="58"/>
      <c r="BX1179" s="58"/>
      <c r="BY1179" s="58"/>
      <c r="BZ1179" s="58"/>
      <c r="CA1179" s="58"/>
      <c r="CB1179" s="58"/>
      <c r="CC1179" s="58"/>
      <c r="CD1179" s="58"/>
      <c r="CE1179" s="58"/>
      <c r="CF1179" s="58"/>
      <c r="CG1179" s="58"/>
      <c r="CH1179" s="58"/>
    </row>
    <row r="1180" spans="1:86" s="59" customFormat="1" ht="24.4" customHeight="1" x14ac:dyDescent="0.2">
      <c r="A1180" s="1509"/>
      <c r="B1180" s="1356"/>
      <c r="C1180" s="1273"/>
      <c r="D1180" s="1473"/>
      <c r="E1180" s="1556"/>
      <c r="F1180" s="1473"/>
      <c r="G1180" s="1556"/>
      <c r="H1180" s="89"/>
      <c r="I1180" s="89"/>
      <c r="J1180" s="89"/>
      <c r="K1180" s="89"/>
      <c r="L1180" s="89"/>
      <c r="M1180" s="89"/>
      <c r="N1180" s="89"/>
      <c r="O1180" s="89"/>
      <c r="P1180" s="89"/>
      <c r="Q1180" s="89"/>
      <c r="R1180" s="89"/>
      <c r="S1180" s="209"/>
      <c r="T1180" s="89"/>
      <c r="U1180" s="89"/>
      <c r="V1180" s="89"/>
      <c r="W1180" s="87"/>
      <c r="X1180" s="88"/>
      <c r="Y1180" s="240"/>
      <c r="Z1180" s="89"/>
      <c r="AA1180" s="89"/>
      <c r="AB1180" s="89"/>
      <c r="AC1180" s="89"/>
      <c r="AD1180" s="89"/>
      <c r="AE1180" s="89"/>
      <c r="AF1180" s="214"/>
      <c r="AG1180" s="45"/>
      <c r="AH1180" s="45"/>
      <c r="AI1180" s="1051"/>
      <c r="AJ1180" s="1051"/>
      <c r="AK1180" s="44"/>
      <c r="AL1180" s="1356"/>
      <c r="AM1180" s="1293"/>
      <c r="AN1180" s="1293"/>
      <c r="AO1180" s="43">
        <f>AO1179*4112</f>
        <v>4116.1119999999992</v>
      </c>
      <c r="AP1180" s="1051" t="s">
        <v>524</v>
      </c>
      <c r="AQ1180" s="1736"/>
      <c r="AR1180" s="295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  <c r="BM1180" s="58"/>
      <c r="BN1180" s="58"/>
      <c r="BO1180" s="58"/>
      <c r="BP1180" s="58"/>
      <c r="BQ1180" s="58"/>
      <c r="BR1180" s="58"/>
      <c r="BS1180" s="58"/>
      <c r="BT1180" s="58"/>
      <c r="BU1180" s="58"/>
      <c r="BV1180" s="58"/>
      <c r="BW1180" s="58"/>
      <c r="BX1180" s="58"/>
      <c r="BY1180" s="58"/>
      <c r="BZ1180" s="58"/>
      <c r="CA1180" s="58"/>
      <c r="CB1180" s="58"/>
      <c r="CC1180" s="58"/>
      <c r="CD1180" s="58"/>
      <c r="CE1180" s="58"/>
      <c r="CF1180" s="58"/>
      <c r="CG1180" s="58"/>
      <c r="CH1180" s="58"/>
    </row>
    <row r="1181" spans="1:86" s="495" customFormat="1" ht="24.4" hidden="1" customHeight="1" x14ac:dyDescent="0.2">
      <c r="A1181" s="1549"/>
      <c r="B1181" s="1355">
        <v>2242877</v>
      </c>
      <c r="C1181" s="1678" t="s">
        <v>115</v>
      </c>
      <c r="D1181" s="1472">
        <v>0.71</v>
      </c>
      <c r="E1181" s="1680">
        <v>3960</v>
      </c>
      <c r="F1181" s="1472">
        <v>0.71</v>
      </c>
      <c r="G1181" s="1680">
        <v>3960</v>
      </c>
      <c r="H1181" s="89"/>
      <c r="I1181" s="89"/>
      <c r="J1181" s="89"/>
      <c r="K1181" s="89"/>
      <c r="L1181" s="89"/>
      <c r="M1181" s="89"/>
      <c r="N1181" s="89"/>
      <c r="O1181" s="89"/>
      <c r="P1181" s="89"/>
      <c r="Q1181" s="89"/>
      <c r="R1181" s="89"/>
      <c r="S1181" s="209"/>
      <c r="T1181" s="89"/>
      <c r="U1181" s="89"/>
      <c r="V1181" s="89"/>
      <c r="W1181" s="87"/>
      <c r="X1181" s="88"/>
      <c r="Y1181" s="240"/>
      <c r="Z1181" s="89"/>
      <c r="AA1181" s="89"/>
      <c r="AB1181" s="89"/>
      <c r="AC1181" s="89"/>
      <c r="AD1181" s="89"/>
      <c r="AE1181" s="89"/>
      <c r="AF1181" s="214"/>
      <c r="AG1181" s="45"/>
      <c r="AH1181" s="45"/>
      <c r="AI1181" s="1051"/>
      <c r="AJ1181" s="1051"/>
      <c r="AK1181" s="44"/>
      <c r="AL1181" s="1355" t="s">
        <v>441</v>
      </c>
      <c r="AM1181" s="1355" t="s">
        <v>691</v>
      </c>
      <c r="AN1181" s="1500" t="s">
        <v>5</v>
      </c>
      <c r="AO1181" s="975"/>
      <c r="AP1181" s="493" t="s">
        <v>2</v>
      </c>
      <c r="AQ1181" s="1760"/>
      <c r="AR1181" s="295"/>
      <c r="AS1181" s="494"/>
      <c r="AT1181" s="494"/>
      <c r="AU1181" s="494"/>
      <c r="AV1181" s="494"/>
      <c r="AW1181" s="494"/>
      <c r="AX1181" s="494"/>
      <c r="AY1181" s="494"/>
      <c r="AZ1181" s="494"/>
      <c r="BA1181" s="494"/>
      <c r="BB1181" s="494"/>
      <c r="BC1181" s="494"/>
      <c r="BD1181" s="494"/>
      <c r="BE1181" s="494"/>
      <c r="BF1181" s="494"/>
      <c r="BG1181" s="494"/>
      <c r="BH1181" s="494"/>
      <c r="BI1181" s="494"/>
      <c r="BJ1181" s="494"/>
      <c r="BK1181" s="494"/>
      <c r="BL1181" s="494"/>
      <c r="BM1181" s="494"/>
      <c r="BN1181" s="494"/>
      <c r="BO1181" s="494"/>
      <c r="BP1181" s="494"/>
      <c r="BQ1181" s="494"/>
      <c r="BR1181" s="494"/>
      <c r="BS1181" s="494"/>
      <c r="BT1181" s="494"/>
      <c r="BU1181" s="494"/>
      <c r="BV1181" s="494"/>
      <c r="BW1181" s="494"/>
      <c r="BX1181" s="494"/>
      <c r="BY1181" s="494"/>
      <c r="BZ1181" s="494"/>
      <c r="CA1181" s="494"/>
      <c r="CB1181" s="494"/>
      <c r="CC1181" s="494"/>
      <c r="CD1181" s="494"/>
      <c r="CE1181" s="494"/>
      <c r="CF1181" s="494"/>
      <c r="CG1181" s="494"/>
      <c r="CH1181" s="494"/>
    </row>
    <row r="1182" spans="1:86" s="495" customFormat="1" ht="24.4" hidden="1" customHeight="1" x14ac:dyDescent="0.2">
      <c r="A1182" s="1509"/>
      <c r="B1182" s="1356"/>
      <c r="C1182" s="1679"/>
      <c r="D1182" s="1473"/>
      <c r="E1182" s="1681"/>
      <c r="F1182" s="1473"/>
      <c r="G1182" s="1681"/>
      <c r="H1182" s="89"/>
      <c r="I1182" s="89"/>
      <c r="J1182" s="89"/>
      <c r="K1182" s="89"/>
      <c r="L1182" s="89"/>
      <c r="M1182" s="89"/>
      <c r="N1182" s="89"/>
      <c r="O1182" s="89"/>
      <c r="P1182" s="89"/>
      <c r="Q1182" s="89"/>
      <c r="R1182" s="89"/>
      <c r="S1182" s="209"/>
      <c r="T1182" s="89"/>
      <c r="U1182" s="89"/>
      <c r="V1182" s="89"/>
      <c r="W1182" s="87"/>
      <c r="X1182" s="88"/>
      <c r="Y1182" s="240"/>
      <c r="Z1182" s="89"/>
      <c r="AA1182" s="89"/>
      <c r="AB1182" s="89"/>
      <c r="AC1182" s="89"/>
      <c r="AD1182" s="89"/>
      <c r="AE1182" s="89"/>
      <c r="AF1182" s="214"/>
      <c r="AG1182" s="45"/>
      <c r="AH1182" s="45"/>
      <c r="AI1182" s="1051"/>
      <c r="AJ1182" s="1051"/>
      <c r="AK1182" s="44"/>
      <c r="AL1182" s="1356"/>
      <c r="AM1182" s="1356"/>
      <c r="AN1182" s="1502"/>
      <c r="AO1182" s="43"/>
      <c r="AP1182" s="228" t="s">
        <v>524</v>
      </c>
      <c r="AQ1182" s="1761"/>
      <c r="AR1182" s="295"/>
      <c r="AS1182" s="494"/>
      <c r="AT1182" s="494"/>
      <c r="AU1182" s="494"/>
      <c r="AV1182" s="494"/>
      <c r="AW1182" s="494"/>
      <c r="AX1182" s="494"/>
      <c r="AY1182" s="494"/>
      <c r="AZ1182" s="494"/>
      <c r="BA1182" s="494"/>
      <c r="BB1182" s="494"/>
      <c r="BC1182" s="494"/>
      <c r="BD1182" s="494"/>
      <c r="BE1182" s="494"/>
      <c r="BF1182" s="494"/>
      <c r="BG1182" s="494"/>
      <c r="BH1182" s="494"/>
      <c r="BI1182" s="494"/>
      <c r="BJ1182" s="494"/>
      <c r="BK1182" s="494"/>
      <c r="BL1182" s="494"/>
      <c r="BM1182" s="494"/>
      <c r="BN1182" s="494"/>
      <c r="BO1182" s="494"/>
      <c r="BP1182" s="494"/>
      <c r="BQ1182" s="494"/>
      <c r="BR1182" s="494"/>
      <c r="BS1182" s="494"/>
      <c r="BT1182" s="494"/>
      <c r="BU1182" s="494"/>
      <c r="BV1182" s="494"/>
      <c r="BW1182" s="494"/>
      <c r="BX1182" s="494"/>
      <c r="BY1182" s="494"/>
      <c r="BZ1182" s="494"/>
      <c r="CA1182" s="494"/>
      <c r="CB1182" s="494"/>
      <c r="CC1182" s="494"/>
      <c r="CD1182" s="494"/>
      <c r="CE1182" s="494"/>
      <c r="CF1182" s="494"/>
      <c r="CG1182" s="494"/>
      <c r="CH1182" s="494"/>
    </row>
    <row r="1183" spans="1:86" s="59" customFormat="1" ht="21.75" hidden="1" customHeight="1" x14ac:dyDescent="0.2">
      <c r="A1183" s="1549">
        <v>28</v>
      </c>
      <c r="B1183" s="1355">
        <v>2239435</v>
      </c>
      <c r="C1183" s="1343" t="s">
        <v>116</v>
      </c>
      <c r="D1183" s="1472">
        <v>0.7</v>
      </c>
      <c r="E1183" s="1554">
        <v>2800</v>
      </c>
      <c r="F1183" s="1472">
        <v>0.7</v>
      </c>
      <c r="G1183" s="1554">
        <v>2800</v>
      </c>
      <c r="H1183" s="89"/>
      <c r="I1183" s="89"/>
      <c r="J1183" s="89"/>
      <c r="K1183" s="89"/>
      <c r="L1183" s="89"/>
      <c r="M1183" s="89"/>
      <c r="N1183" s="89"/>
      <c r="O1183" s="89"/>
      <c r="P1183" s="89"/>
      <c r="Q1183" s="89"/>
      <c r="R1183" s="89"/>
      <c r="S1183" s="209"/>
      <c r="T1183" s="89"/>
      <c r="U1183" s="89"/>
      <c r="V1183" s="89"/>
      <c r="W1183" s="87"/>
      <c r="X1183" s="88"/>
      <c r="Y1183" s="240"/>
      <c r="Z1183" s="89"/>
      <c r="AA1183" s="89"/>
      <c r="AB1183" s="89"/>
      <c r="AC1183" s="89"/>
      <c r="AD1183" s="89"/>
      <c r="AE1183" s="89"/>
      <c r="AF1183" s="214"/>
      <c r="AG1183" s="45"/>
      <c r="AH1183" s="45"/>
      <c r="AI1183" s="800"/>
      <c r="AJ1183" s="1051"/>
      <c r="AK1183" s="44"/>
      <c r="AL1183" s="1355" t="s">
        <v>598</v>
      </c>
      <c r="AM1183" s="1302" t="s">
        <v>523</v>
      </c>
      <c r="AN1183" s="1302" t="s">
        <v>5</v>
      </c>
      <c r="AO1183" s="800"/>
      <c r="AP1183" s="1051" t="s">
        <v>2</v>
      </c>
      <c r="AQ1183" s="1735">
        <f>AO1183*8000</f>
        <v>0</v>
      </c>
      <c r="AR1183" s="295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  <c r="BM1183" s="58"/>
      <c r="BN1183" s="58"/>
      <c r="BO1183" s="58"/>
      <c r="BP1183" s="58"/>
      <c r="BQ1183" s="58"/>
      <c r="BR1183" s="58"/>
      <c r="BS1183" s="58"/>
      <c r="BT1183" s="58"/>
      <c r="BU1183" s="58"/>
      <c r="BV1183" s="58"/>
      <c r="BW1183" s="58"/>
      <c r="BX1183" s="58"/>
      <c r="BY1183" s="58"/>
      <c r="BZ1183" s="58"/>
      <c r="CA1183" s="58"/>
      <c r="CB1183" s="58"/>
      <c r="CC1183" s="58"/>
      <c r="CD1183" s="58"/>
      <c r="CE1183" s="58"/>
      <c r="CF1183" s="58"/>
      <c r="CG1183" s="58"/>
      <c r="CH1183" s="58"/>
    </row>
    <row r="1184" spans="1:86" s="59" customFormat="1" ht="21.75" hidden="1" customHeight="1" x14ac:dyDescent="0.2">
      <c r="A1184" s="1509"/>
      <c r="B1184" s="1356"/>
      <c r="C1184" s="1273"/>
      <c r="D1184" s="1473"/>
      <c r="E1184" s="1556"/>
      <c r="F1184" s="1473"/>
      <c r="G1184" s="1556"/>
      <c r="H1184" s="89"/>
      <c r="I1184" s="89"/>
      <c r="J1184" s="89"/>
      <c r="K1184" s="89"/>
      <c r="L1184" s="89"/>
      <c r="M1184" s="89"/>
      <c r="N1184" s="89"/>
      <c r="O1184" s="89"/>
      <c r="P1184" s="89"/>
      <c r="Q1184" s="89"/>
      <c r="R1184" s="89"/>
      <c r="S1184" s="209"/>
      <c r="T1184" s="89"/>
      <c r="U1184" s="89"/>
      <c r="V1184" s="89"/>
      <c r="W1184" s="87"/>
      <c r="X1184" s="88"/>
      <c r="Y1184" s="240"/>
      <c r="Z1184" s="89"/>
      <c r="AA1184" s="89"/>
      <c r="AB1184" s="89"/>
      <c r="AC1184" s="89"/>
      <c r="AD1184" s="89"/>
      <c r="AE1184" s="89"/>
      <c r="AF1184" s="214"/>
      <c r="AG1184" s="45"/>
      <c r="AH1184" s="45"/>
      <c r="AI1184" s="1051"/>
      <c r="AJ1184" s="1051"/>
      <c r="AK1184" s="44"/>
      <c r="AL1184" s="1356"/>
      <c r="AM1184" s="1293"/>
      <c r="AN1184" s="1293"/>
      <c r="AO1184" s="1051"/>
      <c r="AP1184" s="1051" t="s">
        <v>524</v>
      </c>
      <c r="AQ1184" s="1736"/>
      <c r="AR1184" s="295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  <c r="BM1184" s="58"/>
      <c r="BN1184" s="58"/>
      <c r="BO1184" s="58"/>
      <c r="BP1184" s="58"/>
      <c r="BQ1184" s="58"/>
      <c r="BR1184" s="58"/>
      <c r="BS1184" s="58"/>
      <c r="BT1184" s="58"/>
      <c r="BU1184" s="58"/>
      <c r="BV1184" s="58"/>
      <c r="BW1184" s="58"/>
      <c r="BX1184" s="58"/>
      <c r="BY1184" s="58"/>
      <c r="BZ1184" s="58"/>
      <c r="CA1184" s="58"/>
      <c r="CB1184" s="58"/>
      <c r="CC1184" s="58"/>
      <c r="CD1184" s="58"/>
      <c r="CE1184" s="58"/>
      <c r="CF1184" s="58"/>
      <c r="CG1184" s="58"/>
      <c r="CH1184" s="58"/>
    </row>
    <row r="1185" spans="1:86" s="59" customFormat="1" ht="21.75" hidden="1" customHeight="1" x14ac:dyDescent="0.2">
      <c r="A1185" s="1549">
        <v>19</v>
      </c>
      <c r="B1185" s="1355">
        <v>2240511</v>
      </c>
      <c r="C1185" s="1343" t="s">
        <v>117</v>
      </c>
      <c r="D1185" s="1472">
        <v>1.66</v>
      </c>
      <c r="E1185" s="1554">
        <v>12096</v>
      </c>
      <c r="F1185" s="1472">
        <v>1.66</v>
      </c>
      <c r="G1185" s="1554">
        <v>12096</v>
      </c>
      <c r="H1185" s="89"/>
      <c r="I1185" s="89"/>
      <c r="J1185" s="89"/>
      <c r="K1185" s="89"/>
      <c r="L1185" s="89"/>
      <c r="M1185" s="89"/>
      <c r="N1185" s="89"/>
      <c r="O1185" s="89"/>
      <c r="P1185" s="89"/>
      <c r="Q1185" s="89"/>
      <c r="R1185" s="89"/>
      <c r="S1185" s="209"/>
      <c r="T1185" s="89"/>
      <c r="U1185" s="89"/>
      <c r="V1185" s="89"/>
      <c r="W1185" s="87"/>
      <c r="X1185" s="88"/>
      <c r="Y1185" s="240"/>
      <c r="Z1185" s="89"/>
      <c r="AA1185" s="89"/>
      <c r="AB1185" s="89"/>
      <c r="AC1185" s="89"/>
      <c r="AD1185" s="89"/>
      <c r="AE1185" s="89"/>
      <c r="AF1185" s="259"/>
      <c r="AG1185" s="45"/>
      <c r="AH1185" s="45"/>
      <c r="AI1185" s="800"/>
      <c r="AJ1185" s="1051"/>
      <c r="AK1185" s="260"/>
      <c r="AL1185" s="1500" t="s">
        <v>599</v>
      </c>
      <c r="AM1185" s="1302" t="s">
        <v>600</v>
      </c>
      <c r="AN1185" s="1302" t="s">
        <v>5</v>
      </c>
      <c r="AO1185" s="800"/>
      <c r="AP1185" s="1051" t="s">
        <v>2</v>
      </c>
      <c r="AQ1185" s="1510">
        <f>AO1185*8000</f>
        <v>0</v>
      </c>
      <c r="AR1185" s="295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  <c r="BM1185" s="58"/>
      <c r="BN1185" s="58"/>
      <c r="BO1185" s="58"/>
      <c r="BP1185" s="58"/>
      <c r="BQ1185" s="58"/>
      <c r="BR1185" s="58"/>
      <c r="BS1185" s="58"/>
      <c r="BT1185" s="58"/>
      <c r="BU1185" s="58"/>
      <c r="BV1185" s="58"/>
      <c r="BW1185" s="58"/>
      <c r="BX1185" s="58"/>
      <c r="BY1185" s="58"/>
      <c r="BZ1185" s="58"/>
      <c r="CA1185" s="58"/>
      <c r="CB1185" s="58"/>
      <c r="CC1185" s="58"/>
      <c r="CD1185" s="58"/>
      <c r="CE1185" s="58"/>
      <c r="CF1185" s="58"/>
      <c r="CG1185" s="58"/>
      <c r="CH1185" s="58"/>
    </row>
    <row r="1186" spans="1:86" s="59" customFormat="1" ht="21.75" hidden="1" customHeight="1" x14ac:dyDescent="0.2">
      <c r="A1186" s="1509"/>
      <c r="B1186" s="1507"/>
      <c r="C1186" s="1699"/>
      <c r="D1186" s="1543"/>
      <c r="E1186" s="1555"/>
      <c r="F1186" s="1543"/>
      <c r="G1186" s="1555"/>
      <c r="H1186" s="89"/>
      <c r="I1186" s="89"/>
      <c r="J1186" s="89"/>
      <c r="K1186" s="89"/>
      <c r="L1186" s="89"/>
      <c r="M1186" s="89"/>
      <c r="N1186" s="89"/>
      <c r="O1186" s="89"/>
      <c r="P1186" s="89"/>
      <c r="Q1186" s="89"/>
      <c r="R1186" s="89"/>
      <c r="S1186" s="209"/>
      <c r="T1186" s="89"/>
      <c r="U1186" s="89"/>
      <c r="V1186" s="89"/>
      <c r="W1186" s="87"/>
      <c r="X1186" s="88"/>
      <c r="Y1186" s="240"/>
      <c r="Z1186" s="89"/>
      <c r="AA1186" s="89"/>
      <c r="AB1186" s="89"/>
      <c r="AC1186" s="89"/>
      <c r="AD1186" s="89"/>
      <c r="AE1186" s="89"/>
      <c r="AF1186" s="259"/>
      <c r="AG1186" s="45"/>
      <c r="AH1186" s="45"/>
      <c r="AI1186" s="1051"/>
      <c r="AJ1186" s="1051"/>
      <c r="AK1186" s="260"/>
      <c r="AL1186" s="1501"/>
      <c r="AM1186" s="1267"/>
      <c r="AN1186" s="1293"/>
      <c r="AO1186" s="43">
        <f>AO1185*7287</f>
        <v>0</v>
      </c>
      <c r="AP1186" s="1051" t="s">
        <v>530</v>
      </c>
      <c r="AQ1186" s="1511"/>
      <c r="AR1186" s="295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  <c r="BM1186" s="58"/>
      <c r="BN1186" s="58"/>
      <c r="BO1186" s="58"/>
      <c r="BP1186" s="58"/>
      <c r="BQ1186" s="58"/>
      <c r="BR1186" s="58"/>
      <c r="BS1186" s="58"/>
      <c r="BT1186" s="58"/>
      <c r="BU1186" s="58"/>
      <c r="BV1186" s="58"/>
      <c r="BW1186" s="58"/>
      <c r="BX1186" s="58"/>
      <c r="BY1186" s="58"/>
      <c r="BZ1186" s="58"/>
      <c r="CA1186" s="58"/>
      <c r="CB1186" s="58"/>
      <c r="CC1186" s="58"/>
      <c r="CD1186" s="58"/>
      <c r="CE1186" s="58"/>
      <c r="CF1186" s="58"/>
      <c r="CG1186" s="58"/>
      <c r="CH1186" s="58"/>
    </row>
    <row r="1187" spans="1:86" s="59" customFormat="1" ht="28.9" hidden="1" customHeight="1" x14ac:dyDescent="0.2">
      <c r="A1187" s="1174"/>
      <c r="B1187" s="1356"/>
      <c r="C1187" s="1273"/>
      <c r="D1187" s="1473"/>
      <c r="E1187" s="1556"/>
      <c r="F1187" s="1473"/>
      <c r="G1187" s="1556"/>
      <c r="H1187" s="89"/>
      <c r="I1187" s="89"/>
      <c r="J1187" s="89"/>
      <c r="K1187" s="89"/>
      <c r="L1187" s="89"/>
      <c r="M1187" s="89"/>
      <c r="N1187" s="89"/>
      <c r="O1187" s="89"/>
      <c r="P1187" s="89"/>
      <c r="Q1187" s="89"/>
      <c r="R1187" s="89"/>
      <c r="S1187" s="209"/>
      <c r="T1187" s="89"/>
      <c r="U1187" s="89"/>
      <c r="V1187" s="89"/>
      <c r="W1187" s="87"/>
      <c r="X1187" s="88"/>
      <c r="Y1187" s="240"/>
      <c r="Z1187" s="89"/>
      <c r="AA1187" s="89"/>
      <c r="AB1187" s="89"/>
      <c r="AC1187" s="89"/>
      <c r="AD1187" s="89"/>
      <c r="AE1187" s="89"/>
      <c r="AF1187" s="259"/>
      <c r="AG1187" s="45"/>
      <c r="AH1187" s="1051"/>
      <c r="AI1187" s="1051"/>
      <c r="AJ1187" s="1051"/>
      <c r="AK1187" s="260"/>
      <c r="AL1187" s="1502"/>
      <c r="AM1187" s="1293"/>
      <c r="AN1187" s="1051" t="s">
        <v>35</v>
      </c>
      <c r="AO1187" s="1051">
        <v>6</v>
      </c>
      <c r="AP1187" s="1051" t="s">
        <v>512</v>
      </c>
      <c r="AQ1187" s="1512"/>
      <c r="AR1187" s="295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  <c r="BM1187" s="58"/>
      <c r="BN1187" s="58"/>
      <c r="BO1187" s="58"/>
      <c r="BP1187" s="58"/>
      <c r="BQ1187" s="58"/>
      <c r="BR1187" s="58"/>
      <c r="BS1187" s="58"/>
      <c r="BT1187" s="58"/>
      <c r="BU1187" s="58"/>
      <c r="BV1187" s="58"/>
      <c r="BW1187" s="58"/>
      <c r="BX1187" s="58"/>
      <c r="BY1187" s="58"/>
      <c r="BZ1187" s="58"/>
      <c r="CA1187" s="58"/>
      <c r="CB1187" s="58"/>
      <c r="CC1187" s="58"/>
      <c r="CD1187" s="58"/>
      <c r="CE1187" s="58"/>
      <c r="CF1187" s="58"/>
      <c r="CG1187" s="58"/>
      <c r="CH1187" s="58"/>
    </row>
    <row r="1188" spans="1:86" s="59" customFormat="1" ht="21.75" hidden="1" customHeight="1" x14ac:dyDescent="0.2">
      <c r="A1188" s="1549">
        <v>20</v>
      </c>
      <c r="B1188" s="1355">
        <v>2243376</v>
      </c>
      <c r="C1188" s="1343" t="s">
        <v>118</v>
      </c>
      <c r="D1188" s="1472">
        <v>1.65</v>
      </c>
      <c r="E1188" s="1554">
        <v>7200</v>
      </c>
      <c r="F1188" s="1901">
        <v>1.65</v>
      </c>
      <c r="G1188" s="1554">
        <v>7200</v>
      </c>
      <c r="H1188" s="89"/>
      <c r="I1188" s="89"/>
      <c r="J1188" s="89"/>
      <c r="K1188" s="89"/>
      <c r="L1188" s="89"/>
      <c r="M1188" s="89"/>
      <c r="N1188" s="89"/>
      <c r="O1188" s="89"/>
      <c r="P1188" s="89"/>
      <c r="Q1188" s="89"/>
      <c r="R1188" s="89"/>
      <c r="S1188" s="209"/>
      <c r="T1188" s="89"/>
      <c r="U1188" s="89"/>
      <c r="V1188" s="89"/>
      <c r="W1188" s="87"/>
      <c r="X1188" s="88"/>
      <c r="Y1188" s="240"/>
      <c r="Z1188" s="89"/>
      <c r="AA1188" s="89"/>
      <c r="AB1188" s="89"/>
      <c r="AC1188" s="89"/>
      <c r="AD1188" s="89"/>
      <c r="AE1188" s="89"/>
      <c r="AF1188" s="249"/>
      <c r="AG1188" s="45"/>
      <c r="AH1188" s="45"/>
      <c r="AI1188" s="800"/>
      <c r="AJ1188" s="1051"/>
      <c r="AK1188" s="260"/>
      <c r="AL1188" s="1500" t="s">
        <v>601</v>
      </c>
      <c r="AM1188" s="1302" t="s">
        <v>602</v>
      </c>
      <c r="AN1188" s="1302" t="s">
        <v>5</v>
      </c>
      <c r="AO1188" s="800"/>
      <c r="AP1188" s="1051" t="s">
        <v>2</v>
      </c>
      <c r="AQ1188" s="1510">
        <f>AO1188*8000</f>
        <v>0</v>
      </c>
      <c r="AR1188" s="295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  <c r="BM1188" s="58"/>
      <c r="BN1188" s="58"/>
      <c r="BO1188" s="58"/>
      <c r="BP1188" s="58"/>
      <c r="BQ1188" s="58"/>
      <c r="BR1188" s="58"/>
      <c r="BS1188" s="58"/>
      <c r="BT1188" s="58"/>
      <c r="BU1188" s="58"/>
      <c r="BV1188" s="58"/>
      <c r="BW1188" s="58"/>
      <c r="BX1188" s="58"/>
      <c r="BY1188" s="58"/>
      <c r="BZ1188" s="58"/>
      <c r="CA1188" s="58"/>
      <c r="CB1188" s="58"/>
      <c r="CC1188" s="58"/>
      <c r="CD1188" s="58"/>
      <c r="CE1188" s="58"/>
      <c r="CF1188" s="58"/>
      <c r="CG1188" s="58"/>
      <c r="CH1188" s="58"/>
    </row>
    <row r="1189" spans="1:86" s="59" customFormat="1" ht="21.75" hidden="1" customHeight="1" x14ac:dyDescent="0.2">
      <c r="A1189" s="1509"/>
      <c r="B1189" s="1507"/>
      <c r="C1189" s="1699"/>
      <c r="D1189" s="1543"/>
      <c r="E1189" s="1555"/>
      <c r="F1189" s="1265"/>
      <c r="G1189" s="1555"/>
      <c r="H1189" s="89"/>
      <c r="I1189" s="89"/>
      <c r="J1189" s="89"/>
      <c r="K1189" s="89"/>
      <c r="L1189" s="89"/>
      <c r="M1189" s="89"/>
      <c r="N1189" s="89"/>
      <c r="O1189" s="89"/>
      <c r="P1189" s="89"/>
      <c r="Q1189" s="89"/>
      <c r="R1189" s="89"/>
      <c r="S1189" s="209"/>
      <c r="T1189" s="89"/>
      <c r="U1189" s="89"/>
      <c r="V1189" s="89"/>
      <c r="W1189" s="87"/>
      <c r="X1189" s="88"/>
      <c r="Y1189" s="240"/>
      <c r="Z1189" s="89"/>
      <c r="AA1189" s="89"/>
      <c r="AB1189" s="89"/>
      <c r="AC1189" s="89"/>
      <c r="AD1189" s="89"/>
      <c r="AE1189" s="89"/>
      <c r="AF1189" s="249"/>
      <c r="AG1189" s="45"/>
      <c r="AH1189" s="45"/>
      <c r="AI1189" s="1051"/>
      <c r="AJ1189" s="1051"/>
      <c r="AK1189" s="260"/>
      <c r="AL1189" s="1501"/>
      <c r="AM1189" s="1267"/>
      <c r="AN1189" s="1293"/>
      <c r="AO1189" s="1051">
        <f>AO1188*4364</f>
        <v>0</v>
      </c>
      <c r="AP1189" s="1051" t="s">
        <v>530</v>
      </c>
      <c r="AQ1189" s="1511"/>
      <c r="AR1189" s="295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  <c r="BM1189" s="58"/>
      <c r="BN1189" s="58"/>
      <c r="BO1189" s="58"/>
      <c r="BP1189" s="58"/>
      <c r="BQ1189" s="58"/>
      <c r="BR1189" s="58"/>
      <c r="BS1189" s="58"/>
      <c r="BT1189" s="58"/>
      <c r="BU1189" s="58"/>
      <c r="BV1189" s="58"/>
      <c r="BW1189" s="58"/>
      <c r="BX1189" s="58"/>
      <c r="BY1189" s="58"/>
      <c r="BZ1189" s="58"/>
      <c r="CA1189" s="58"/>
      <c r="CB1189" s="58"/>
      <c r="CC1189" s="58"/>
      <c r="CD1189" s="58"/>
      <c r="CE1189" s="58"/>
      <c r="CF1189" s="58"/>
      <c r="CG1189" s="58"/>
      <c r="CH1189" s="58"/>
    </row>
    <row r="1190" spans="1:86" s="59" customFormat="1" ht="28.9" hidden="1" customHeight="1" x14ac:dyDescent="0.2">
      <c r="A1190" s="1174"/>
      <c r="B1190" s="1356"/>
      <c r="C1190" s="1273"/>
      <c r="D1190" s="1473"/>
      <c r="E1190" s="1556"/>
      <c r="F1190" s="1902"/>
      <c r="G1190" s="1556"/>
      <c r="H1190" s="89"/>
      <c r="I1190" s="89"/>
      <c r="J1190" s="89"/>
      <c r="K1190" s="89"/>
      <c r="L1190" s="89"/>
      <c r="M1190" s="89"/>
      <c r="N1190" s="89"/>
      <c r="O1190" s="89"/>
      <c r="P1190" s="89"/>
      <c r="Q1190" s="89"/>
      <c r="R1190" s="89"/>
      <c r="S1190" s="209"/>
      <c r="T1190" s="89"/>
      <c r="U1190" s="89"/>
      <c r="V1190" s="89"/>
      <c r="W1190" s="87"/>
      <c r="X1190" s="88"/>
      <c r="Y1190" s="240"/>
      <c r="Z1190" s="89"/>
      <c r="AA1190" s="89"/>
      <c r="AB1190" s="89"/>
      <c r="AC1190" s="89"/>
      <c r="AD1190" s="89"/>
      <c r="AE1190" s="89"/>
      <c r="AF1190" s="249"/>
      <c r="AG1190" s="45"/>
      <c r="AH1190" s="1051"/>
      <c r="AI1190" s="1051"/>
      <c r="AJ1190" s="1051"/>
      <c r="AK1190" s="260"/>
      <c r="AL1190" s="1502"/>
      <c r="AM1190" s="1293"/>
      <c r="AN1190" s="1051" t="s">
        <v>35</v>
      </c>
      <c r="AO1190" s="1051">
        <v>2</v>
      </c>
      <c r="AP1190" s="1051" t="s">
        <v>512</v>
      </c>
      <c r="AQ1190" s="1512"/>
      <c r="AR1190" s="295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  <c r="BM1190" s="58"/>
      <c r="BN1190" s="58"/>
      <c r="BO1190" s="58"/>
      <c r="BP1190" s="58"/>
      <c r="BQ1190" s="58"/>
      <c r="BR1190" s="58"/>
      <c r="BS1190" s="58"/>
      <c r="BT1190" s="58"/>
      <c r="BU1190" s="58"/>
      <c r="BV1190" s="58"/>
      <c r="BW1190" s="58"/>
      <c r="BX1190" s="58"/>
      <c r="BY1190" s="58"/>
      <c r="BZ1190" s="58"/>
      <c r="CA1190" s="58"/>
      <c r="CB1190" s="58"/>
      <c r="CC1190" s="58"/>
      <c r="CD1190" s="58"/>
      <c r="CE1190" s="58"/>
      <c r="CF1190" s="58"/>
      <c r="CG1190" s="58"/>
      <c r="CH1190" s="58"/>
    </row>
    <row r="1191" spans="1:86" s="59" customFormat="1" ht="40.15" hidden="1" customHeight="1" x14ac:dyDescent="0.2">
      <c r="A1191" s="1174"/>
      <c r="B1191" s="1355">
        <v>2242013</v>
      </c>
      <c r="C1191" s="1678" t="s">
        <v>119</v>
      </c>
      <c r="D1191" s="1472">
        <v>1.41</v>
      </c>
      <c r="E1191" s="1680">
        <v>10400</v>
      </c>
      <c r="F1191" s="1285">
        <v>1.41</v>
      </c>
      <c r="G1191" s="1680">
        <v>10400</v>
      </c>
      <c r="H1191" s="89"/>
      <c r="I1191" s="89"/>
      <c r="J1191" s="89"/>
      <c r="K1191" s="89"/>
      <c r="L1191" s="89"/>
      <c r="M1191" s="89"/>
      <c r="N1191" s="89"/>
      <c r="O1191" s="89"/>
      <c r="P1191" s="89"/>
      <c r="Q1191" s="89"/>
      <c r="R1191" s="89"/>
      <c r="S1191" s="209"/>
      <c r="T1191" s="89"/>
      <c r="U1191" s="89"/>
      <c r="V1191" s="89"/>
      <c r="W1191" s="87"/>
      <c r="X1191" s="88"/>
      <c r="Y1191" s="240"/>
      <c r="Z1191" s="89"/>
      <c r="AA1191" s="89"/>
      <c r="AB1191" s="89"/>
      <c r="AC1191" s="89"/>
      <c r="AD1191" s="89"/>
      <c r="AE1191" s="89"/>
      <c r="AF1191" s="249"/>
      <c r="AG1191" s="45"/>
      <c r="AH1191" s="1051"/>
      <c r="AI1191" s="1051"/>
      <c r="AJ1191" s="1051"/>
      <c r="AK1191" s="260"/>
      <c r="AL1191" s="1044" t="s">
        <v>441</v>
      </c>
      <c r="AM1191" s="1044" t="s">
        <v>692</v>
      </c>
      <c r="AN1191" s="1040" t="s">
        <v>5</v>
      </c>
      <c r="AO1191" s="878"/>
      <c r="AP1191" s="493" t="s">
        <v>2</v>
      </c>
      <c r="AQ1191" s="1755">
        <f t="shared" ref="AQ1191" si="22">AO1191*8000</f>
        <v>0</v>
      </c>
      <c r="AR1191" s="295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  <c r="BM1191" s="58"/>
      <c r="BN1191" s="58"/>
      <c r="BO1191" s="58"/>
      <c r="BP1191" s="58"/>
      <c r="BQ1191" s="58"/>
      <c r="BR1191" s="58"/>
      <c r="BS1191" s="58"/>
      <c r="BT1191" s="58"/>
      <c r="BU1191" s="58"/>
      <c r="BV1191" s="58"/>
      <c r="BW1191" s="58"/>
      <c r="BX1191" s="58"/>
      <c r="BY1191" s="58"/>
      <c r="BZ1191" s="58"/>
      <c r="CA1191" s="58"/>
      <c r="CB1191" s="58"/>
      <c r="CC1191" s="58"/>
      <c r="CD1191" s="58"/>
      <c r="CE1191" s="58"/>
      <c r="CF1191" s="58"/>
      <c r="CG1191" s="58"/>
      <c r="CH1191" s="58"/>
    </row>
    <row r="1192" spans="1:86" s="59" customFormat="1" ht="28.9" hidden="1" customHeight="1" x14ac:dyDescent="0.2">
      <c r="A1192" s="1174"/>
      <c r="B1192" s="1507"/>
      <c r="C1192" s="1686"/>
      <c r="D1192" s="1543"/>
      <c r="E1192" s="1728"/>
      <c r="F1192" s="1220"/>
      <c r="G1192" s="1728"/>
      <c r="H1192" s="89"/>
      <c r="I1192" s="89"/>
      <c r="J1192" s="89"/>
      <c r="K1192" s="89"/>
      <c r="L1192" s="89"/>
      <c r="M1192" s="89"/>
      <c r="N1192" s="89"/>
      <c r="O1192" s="89"/>
      <c r="P1192" s="89"/>
      <c r="Q1192" s="89"/>
      <c r="R1192" s="89"/>
      <c r="S1192" s="209"/>
      <c r="T1192" s="89"/>
      <c r="U1192" s="89"/>
      <c r="V1192" s="89"/>
      <c r="W1192" s="87"/>
      <c r="X1192" s="88"/>
      <c r="Y1192" s="240"/>
      <c r="Z1192" s="89"/>
      <c r="AA1192" s="89"/>
      <c r="AB1192" s="89"/>
      <c r="AC1192" s="89"/>
      <c r="AD1192" s="89"/>
      <c r="AE1192" s="89"/>
      <c r="AF1192" s="249"/>
      <c r="AG1192" s="45"/>
      <c r="AH1192" s="1051"/>
      <c r="AI1192" s="1051"/>
      <c r="AJ1192" s="1051"/>
      <c r="AK1192" s="260"/>
      <c r="AL1192" s="1044" t="s">
        <v>441</v>
      </c>
      <c r="AM1192" s="1044" t="s">
        <v>692</v>
      </c>
      <c r="AN1192" s="1044" t="s">
        <v>6</v>
      </c>
      <c r="AO1192" s="57">
        <f>AO1191*10000</f>
        <v>0</v>
      </c>
      <c r="AP1192" s="493" t="s">
        <v>524</v>
      </c>
      <c r="AQ1192" s="1756"/>
      <c r="AR1192" s="295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  <c r="BM1192" s="58"/>
      <c r="BN1192" s="58"/>
      <c r="BO1192" s="58"/>
      <c r="BP1192" s="58"/>
      <c r="BQ1192" s="58"/>
      <c r="BR1192" s="58"/>
      <c r="BS1192" s="58"/>
      <c r="BT1192" s="58"/>
      <c r="BU1192" s="58"/>
      <c r="BV1192" s="58"/>
      <c r="BW1192" s="58"/>
      <c r="BX1192" s="58"/>
      <c r="BY1192" s="58"/>
      <c r="BZ1192" s="58"/>
      <c r="CA1192" s="58"/>
      <c r="CB1192" s="58"/>
      <c r="CC1192" s="58"/>
      <c r="CD1192" s="58"/>
      <c r="CE1192" s="58"/>
      <c r="CF1192" s="58"/>
      <c r="CG1192" s="58"/>
      <c r="CH1192" s="58"/>
    </row>
    <row r="1193" spans="1:86" s="59" customFormat="1" ht="28.9" hidden="1" customHeight="1" x14ac:dyDescent="0.2">
      <c r="A1193" s="1174"/>
      <c r="B1193" s="1356"/>
      <c r="C1193" s="1679"/>
      <c r="D1193" s="1473"/>
      <c r="E1193" s="1681"/>
      <c r="F1193" s="1213"/>
      <c r="G1193" s="1681"/>
      <c r="H1193" s="89"/>
      <c r="I1193" s="89"/>
      <c r="J1193" s="89"/>
      <c r="K1193" s="89"/>
      <c r="L1193" s="89"/>
      <c r="M1193" s="89"/>
      <c r="N1193" s="89"/>
      <c r="O1193" s="89"/>
      <c r="P1193" s="89"/>
      <c r="Q1193" s="89"/>
      <c r="R1193" s="89"/>
      <c r="S1193" s="209"/>
      <c r="T1193" s="89"/>
      <c r="U1193" s="89"/>
      <c r="V1193" s="89"/>
      <c r="W1193" s="87"/>
      <c r="X1193" s="88"/>
      <c r="Y1193" s="240"/>
      <c r="Z1193" s="89"/>
      <c r="AA1193" s="89"/>
      <c r="AB1193" s="89"/>
      <c r="AC1193" s="89"/>
      <c r="AD1193" s="89"/>
      <c r="AE1193" s="89"/>
      <c r="AF1193" s="249"/>
      <c r="AG1193" s="45"/>
      <c r="AH1193" s="1051"/>
      <c r="AI1193" s="1051"/>
      <c r="AJ1193" s="1051"/>
      <c r="AK1193" s="260"/>
      <c r="AL1193" s="1044" t="s">
        <v>441</v>
      </c>
      <c r="AM1193" s="1044" t="s">
        <v>692</v>
      </c>
      <c r="AN1193" s="1040" t="s">
        <v>35</v>
      </c>
      <c r="AO1193" s="878">
        <v>5</v>
      </c>
      <c r="AP1193" s="493" t="s">
        <v>512</v>
      </c>
      <c r="AQ1193" s="1757"/>
      <c r="AR1193" s="295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  <c r="BM1193" s="58"/>
      <c r="BN1193" s="58"/>
      <c r="BO1193" s="58"/>
      <c r="BP1193" s="58"/>
      <c r="BQ1193" s="58"/>
      <c r="BR1193" s="58"/>
      <c r="BS1193" s="58"/>
      <c r="BT1193" s="58"/>
      <c r="BU1193" s="58"/>
      <c r="BV1193" s="58"/>
      <c r="BW1193" s="58"/>
      <c r="BX1193" s="58"/>
      <c r="BY1193" s="58"/>
      <c r="BZ1193" s="58"/>
      <c r="CA1193" s="58"/>
      <c r="CB1193" s="58"/>
      <c r="CC1193" s="58"/>
      <c r="CD1193" s="58"/>
      <c r="CE1193" s="58"/>
      <c r="CF1193" s="58"/>
      <c r="CG1193" s="58"/>
      <c r="CH1193" s="58"/>
    </row>
    <row r="1194" spans="1:86" s="59" customFormat="1" ht="43.15" hidden="1" customHeight="1" x14ac:dyDescent="0.2">
      <c r="A1194" s="1174">
        <v>31</v>
      </c>
      <c r="B1194" s="1355">
        <v>2246203</v>
      </c>
      <c r="C1194" s="1678" t="s">
        <v>120</v>
      </c>
      <c r="D1194" s="1472">
        <v>0.65</v>
      </c>
      <c r="E1194" s="1680">
        <v>4200</v>
      </c>
      <c r="F1194" s="1472">
        <v>0.65</v>
      </c>
      <c r="G1194" s="1680">
        <v>4200</v>
      </c>
      <c r="H1194" s="89"/>
      <c r="I1194" s="89"/>
      <c r="J1194" s="89"/>
      <c r="K1194" s="89"/>
      <c r="L1194" s="89"/>
      <c r="M1194" s="89"/>
      <c r="N1194" s="89"/>
      <c r="O1194" s="89"/>
      <c r="P1194" s="89"/>
      <c r="Q1194" s="89"/>
      <c r="R1194" s="89"/>
      <c r="S1194" s="209"/>
      <c r="T1194" s="89"/>
      <c r="U1194" s="89"/>
      <c r="V1194" s="89"/>
      <c r="W1194" s="87"/>
      <c r="X1194" s="88"/>
      <c r="Y1194" s="240"/>
      <c r="Z1194" s="89"/>
      <c r="AA1194" s="89"/>
      <c r="AB1194" s="89"/>
      <c r="AC1194" s="89"/>
      <c r="AD1194" s="89"/>
      <c r="AE1194" s="89"/>
      <c r="AF1194" s="249"/>
      <c r="AG1194" s="45"/>
      <c r="AH1194" s="1051"/>
      <c r="AI1194" s="1051"/>
      <c r="AJ1194" s="1051"/>
      <c r="AK1194" s="260"/>
      <c r="AL1194" s="1044" t="s">
        <v>441</v>
      </c>
      <c r="AM1194" s="1044" t="s">
        <v>693</v>
      </c>
      <c r="AN1194" s="1040" t="s">
        <v>5</v>
      </c>
      <c r="AO1194" s="975"/>
      <c r="AP1194" s="57" t="s">
        <v>2</v>
      </c>
      <c r="AQ1194" s="1510">
        <f t="shared" ref="AQ1194" si="23">AO1194*8000</f>
        <v>0</v>
      </c>
      <c r="AR1194" s="295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  <c r="BM1194" s="58"/>
      <c r="BN1194" s="58"/>
      <c r="BO1194" s="58"/>
      <c r="BP1194" s="58"/>
      <c r="BQ1194" s="58"/>
      <c r="BR1194" s="58"/>
      <c r="BS1194" s="58"/>
      <c r="BT1194" s="58"/>
      <c r="BU1194" s="58"/>
      <c r="BV1194" s="58"/>
      <c r="BW1194" s="58"/>
      <c r="BX1194" s="58"/>
      <c r="BY1194" s="58"/>
      <c r="BZ1194" s="58"/>
      <c r="CA1194" s="58"/>
      <c r="CB1194" s="58"/>
      <c r="CC1194" s="58"/>
      <c r="CD1194" s="58"/>
      <c r="CE1194" s="58"/>
      <c r="CF1194" s="58"/>
      <c r="CG1194" s="58"/>
      <c r="CH1194" s="58"/>
    </row>
    <row r="1195" spans="1:86" s="59" customFormat="1" ht="28.9" hidden="1" customHeight="1" x14ac:dyDescent="0.2">
      <c r="A1195" s="1174"/>
      <c r="B1195" s="1507"/>
      <c r="C1195" s="1686"/>
      <c r="D1195" s="1543"/>
      <c r="E1195" s="1728"/>
      <c r="F1195" s="1543"/>
      <c r="G1195" s="1728"/>
      <c r="H1195" s="89"/>
      <c r="I1195" s="89"/>
      <c r="J1195" s="89"/>
      <c r="K1195" s="89"/>
      <c r="L1195" s="89"/>
      <c r="M1195" s="89"/>
      <c r="N1195" s="89"/>
      <c r="O1195" s="89"/>
      <c r="P1195" s="89"/>
      <c r="Q1195" s="89"/>
      <c r="R1195" s="89"/>
      <c r="S1195" s="209"/>
      <c r="T1195" s="89"/>
      <c r="U1195" s="89"/>
      <c r="V1195" s="89"/>
      <c r="W1195" s="87"/>
      <c r="X1195" s="88"/>
      <c r="Y1195" s="240"/>
      <c r="Z1195" s="89"/>
      <c r="AA1195" s="89"/>
      <c r="AB1195" s="89"/>
      <c r="AC1195" s="89"/>
      <c r="AD1195" s="89"/>
      <c r="AE1195" s="89"/>
      <c r="AF1195" s="249"/>
      <c r="AG1195" s="45"/>
      <c r="AH1195" s="1051"/>
      <c r="AI1195" s="1051"/>
      <c r="AJ1195" s="1051"/>
      <c r="AK1195" s="260"/>
      <c r="AL1195" s="1044" t="s">
        <v>441</v>
      </c>
      <c r="AM1195" s="1044" t="s">
        <v>693</v>
      </c>
      <c r="AN1195" s="1044" t="s">
        <v>6</v>
      </c>
      <c r="AO1195" s="57">
        <f>AO1194*6462</f>
        <v>0</v>
      </c>
      <c r="AP1195" s="57" t="s">
        <v>524</v>
      </c>
      <c r="AQ1195" s="1511"/>
      <c r="AR1195" s="295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  <c r="BM1195" s="58"/>
      <c r="BN1195" s="58"/>
      <c r="BO1195" s="58"/>
      <c r="BP1195" s="58"/>
      <c r="BQ1195" s="58"/>
      <c r="BR1195" s="58"/>
      <c r="BS1195" s="58"/>
      <c r="BT1195" s="58"/>
      <c r="BU1195" s="58"/>
      <c r="BV1195" s="58"/>
      <c r="BW1195" s="58"/>
      <c r="BX1195" s="58"/>
      <c r="BY1195" s="58"/>
      <c r="BZ1195" s="58"/>
      <c r="CA1195" s="58"/>
      <c r="CB1195" s="58"/>
      <c r="CC1195" s="58"/>
      <c r="CD1195" s="58"/>
      <c r="CE1195" s="58"/>
      <c r="CF1195" s="58"/>
      <c r="CG1195" s="58"/>
      <c r="CH1195" s="58"/>
    </row>
    <row r="1196" spans="1:86" s="59" customFormat="1" ht="28.9" hidden="1" customHeight="1" x14ac:dyDescent="0.2">
      <c r="A1196" s="1174"/>
      <c r="B1196" s="1356"/>
      <c r="C1196" s="1679"/>
      <c r="D1196" s="1473"/>
      <c r="E1196" s="1681"/>
      <c r="F1196" s="1473"/>
      <c r="G1196" s="1681"/>
      <c r="H1196" s="89"/>
      <c r="I1196" s="89"/>
      <c r="J1196" s="89"/>
      <c r="K1196" s="89"/>
      <c r="L1196" s="89"/>
      <c r="M1196" s="89"/>
      <c r="N1196" s="89"/>
      <c r="O1196" s="89"/>
      <c r="P1196" s="89"/>
      <c r="Q1196" s="89"/>
      <c r="R1196" s="89"/>
      <c r="S1196" s="209"/>
      <c r="T1196" s="89"/>
      <c r="U1196" s="89"/>
      <c r="V1196" s="89"/>
      <c r="W1196" s="87"/>
      <c r="X1196" s="88"/>
      <c r="Y1196" s="240"/>
      <c r="Z1196" s="89"/>
      <c r="AA1196" s="89"/>
      <c r="AB1196" s="89"/>
      <c r="AC1196" s="89"/>
      <c r="AD1196" s="89"/>
      <c r="AE1196" s="89"/>
      <c r="AF1196" s="249"/>
      <c r="AG1196" s="45"/>
      <c r="AH1196" s="1051"/>
      <c r="AI1196" s="1051"/>
      <c r="AJ1196" s="1051"/>
      <c r="AK1196" s="260"/>
      <c r="AL1196" s="1044" t="s">
        <v>441</v>
      </c>
      <c r="AM1196" s="1044" t="s">
        <v>693</v>
      </c>
      <c r="AN1196" s="1040" t="s">
        <v>35</v>
      </c>
      <c r="AO1196" s="1162">
        <v>4</v>
      </c>
      <c r="AP1196" s="57" t="s">
        <v>512</v>
      </c>
      <c r="AQ1196" s="1512"/>
      <c r="AR1196" s="295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  <c r="BM1196" s="58"/>
      <c r="BN1196" s="58"/>
      <c r="BO1196" s="58"/>
      <c r="BP1196" s="58"/>
      <c r="BQ1196" s="58"/>
      <c r="BR1196" s="58"/>
      <c r="BS1196" s="58"/>
      <c r="BT1196" s="58"/>
      <c r="BU1196" s="58"/>
      <c r="BV1196" s="58"/>
      <c r="BW1196" s="58"/>
      <c r="BX1196" s="58"/>
      <c r="BY1196" s="58"/>
      <c r="BZ1196" s="58"/>
      <c r="CA1196" s="58"/>
      <c r="CB1196" s="58"/>
      <c r="CC1196" s="58"/>
      <c r="CD1196" s="58"/>
      <c r="CE1196" s="58"/>
      <c r="CF1196" s="58"/>
      <c r="CG1196" s="58"/>
      <c r="CH1196" s="58"/>
    </row>
    <row r="1197" spans="1:86" s="59" customFormat="1" ht="21.75" customHeight="1" x14ac:dyDescent="0.2">
      <c r="A1197" s="1549">
        <v>22</v>
      </c>
      <c r="B1197" s="1302">
        <v>2239317</v>
      </c>
      <c r="C1197" s="1343" t="s">
        <v>121</v>
      </c>
      <c r="D1197" s="1472">
        <v>0.69</v>
      </c>
      <c r="E1197" s="1554">
        <v>2824</v>
      </c>
      <c r="F1197" s="1472">
        <v>0.69</v>
      </c>
      <c r="G1197" s="1554">
        <v>2824</v>
      </c>
      <c r="H1197" s="89"/>
      <c r="I1197" s="89"/>
      <c r="J1197" s="89"/>
      <c r="K1197" s="89"/>
      <c r="L1197" s="89"/>
      <c r="M1197" s="89"/>
      <c r="N1197" s="89"/>
      <c r="O1197" s="89"/>
      <c r="P1197" s="89"/>
      <c r="Q1197" s="89"/>
      <c r="R1197" s="89"/>
      <c r="S1197" s="209"/>
      <c r="T1197" s="89"/>
      <c r="U1197" s="89"/>
      <c r="V1197" s="89"/>
      <c r="W1197" s="87"/>
      <c r="X1197" s="88"/>
      <c r="Y1197" s="240"/>
      <c r="Z1197" s="2000" t="s">
        <v>1505</v>
      </c>
      <c r="AA1197" s="2001" t="s">
        <v>1551</v>
      </c>
      <c r="AB1197" s="1302" t="s">
        <v>5</v>
      </c>
      <c r="AC1197" s="800">
        <v>0.61199999999999999</v>
      </c>
      <c r="AD1197" s="1051" t="s">
        <v>2</v>
      </c>
      <c r="AE1197" s="2477">
        <v>6566.6649600000001</v>
      </c>
      <c r="AF1197" s="174"/>
      <c r="AG1197" s="45"/>
      <c r="AH1197" s="45"/>
      <c r="AI1197" s="800"/>
      <c r="AJ1197" s="1051"/>
      <c r="AK1197" s="260"/>
      <c r="AL1197" s="174"/>
      <c r="AM1197" s="45"/>
      <c r="AN1197" s="45"/>
      <c r="AO1197" s="800"/>
      <c r="AP1197" s="1051"/>
      <c r="AQ1197" s="503"/>
      <c r="AR1197" s="295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  <c r="BM1197" s="58"/>
      <c r="BN1197" s="58"/>
      <c r="BO1197" s="58"/>
      <c r="BP1197" s="58"/>
      <c r="BQ1197" s="58"/>
      <c r="BR1197" s="58"/>
      <c r="BS1197" s="58"/>
      <c r="BT1197" s="58"/>
      <c r="BU1197" s="58"/>
      <c r="BV1197" s="58"/>
      <c r="BW1197" s="58"/>
      <c r="BX1197" s="58"/>
      <c r="BY1197" s="58"/>
      <c r="BZ1197" s="58"/>
      <c r="CA1197" s="58"/>
      <c r="CB1197" s="58"/>
      <c r="CC1197" s="58"/>
      <c r="CD1197" s="58"/>
      <c r="CE1197" s="58"/>
      <c r="CF1197" s="58"/>
      <c r="CG1197" s="58"/>
      <c r="CH1197" s="58"/>
    </row>
    <row r="1198" spans="1:86" s="59" customFormat="1" ht="21.75" customHeight="1" x14ac:dyDescent="0.2">
      <c r="A1198" s="1509"/>
      <c r="B1198" s="1267"/>
      <c r="C1198" s="1699"/>
      <c r="D1198" s="1543"/>
      <c r="E1198" s="1555"/>
      <c r="F1198" s="1543"/>
      <c r="G1198" s="1555"/>
      <c r="H1198" s="89"/>
      <c r="I1198" s="89"/>
      <c r="J1198" s="89"/>
      <c r="K1198" s="89"/>
      <c r="L1198" s="89"/>
      <c r="M1198" s="89"/>
      <c r="N1198" s="89"/>
      <c r="O1198" s="89"/>
      <c r="P1198" s="89"/>
      <c r="Q1198" s="89"/>
      <c r="R1198" s="89"/>
      <c r="S1198" s="209"/>
      <c r="T1198" s="89"/>
      <c r="U1198" s="89"/>
      <c r="V1198" s="89"/>
      <c r="W1198" s="87"/>
      <c r="X1198" s="88"/>
      <c r="Y1198" s="240"/>
      <c r="Z1198" s="2000"/>
      <c r="AA1198" s="2001"/>
      <c r="AB1198" s="1293"/>
      <c r="AC1198" s="43">
        <f>2824/690*612</f>
        <v>2504.7652173913043</v>
      </c>
      <c r="AD1198" s="1051" t="s">
        <v>524</v>
      </c>
      <c r="AE1198" s="2370"/>
      <c r="AF1198" s="174"/>
      <c r="AG1198" s="45"/>
      <c r="AH1198" s="45"/>
      <c r="AI1198" s="1051"/>
      <c r="AJ1198" s="1051"/>
      <c r="AK1198" s="260"/>
      <c r="AL1198" s="174"/>
      <c r="AM1198" s="45"/>
      <c r="AN1198" s="45"/>
      <c r="AO1198" s="43"/>
      <c r="AP1198" s="1051"/>
      <c r="AQ1198" s="503"/>
      <c r="AR1198" s="295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  <c r="BM1198" s="58"/>
      <c r="BN1198" s="58"/>
      <c r="BO1198" s="58"/>
      <c r="BP1198" s="58"/>
      <c r="BQ1198" s="58"/>
      <c r="BR1198" s="58"/>
      <c r="BS1198" s="58"/>
      <c r="BT1198" s="58"/>
      <c r="BU1198" s="58"/>
      <c r="BV1198" s="58"/>
      <c r="BW1198" s="58"/>
      <c r="BX1198" s="58"/>
      <c r="BY1198" s="58"/>
      <c r="BZ1198" s="58"/>
      <c r="CA1198" s="58"/>
      <c r="CB1198" s="58"/>
      <c r="CC1198" s="58"/>
      <c r="CD1198" s="58"/>
      <c r="CE1198" s="58"/>
      <c r="CF1198" s="58"/>
      <c r="CG1198" s="58"/>
      <c r="CH1198" s="58"/>
    </row>
    <row r="1199" spans="1:86" s="59" customFormat="1" ht="21.75" hidden="1" customHeight="1" x14ac:dyDescent="0.2">
      <c r="A1199" s="1174"/>
      <c r="B1199" s="1293"/>
      <c r="C1199" s="1273"/>
      <c r="D1199" s="1473"/>
      <c r="E1199" s="1556"/>
      <c r="F1199" s="1473"/>
      <c r="G1199" s="1556"/>
      <c r="H1199" s="89"/>
      <c r="I1199" s="89"/>
      <c r="J1199" s="89"/>
      <c r="K1199" s="89"/>
      <c r="L1199" s="89"/>
      <c r="M1199" s="89"/>
      <c r="N1199" s="89"/>
      <c r="O1199" s="89"/>
      <c r="P1199" s="89"/>
      <c r="Q1199" s="89"/>
      <c r="R1199" s="89"/>
      <c r="S1199" s="209"/>
      <c r="T1199" s="89"/>
      <c r="U1199" s="89"/>
      <c r="V1199" s="89"/>
      <c r="W1199" s="87"/>
      <c r="X1199" s="88"/>
      <c r="Y1199" s="240"/>
      <c r="Z1199" s="2000"/>
      <c r="AA1199" s="2001"/>
      <c r="AB1199" s="1051" t="s">
        <v>35</v>
      </c>
      <c r="AC1199" s="1051">
        <v>2</v>
      </c>
      <c r="AD1199" s="1051" t="s">
        <v>512</v>
      </c>
      <c r="AE1199" s="1512"/>
      <c r="AF1199" s="174"/>
      <c r="AG1199" s="45"/>
      <c r="AH1199" s="1051"/>
      <c r="AI1199" s="1051"/>
      <c r="AJ1199" s="1051"/>
      <c r="AK1199" s="260"/>
      <c r="AL1199" s="174"/>
      <c r="AM1199" s="45"/>
      <c r="AN1199" s="1051"/>
      <c r="AO1199" s="1051"/>
      <c r="AP1199" s="1051"/>
      <c r="AQ1199" s="503"/>
      <c r="AR1199" s="295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  <c r="BM1199" s="58"/>
      <c r="BN1199" s="58"/>
      <c r="BO1199" s="58"/>
      <c r="BP1199" s="58"/>
      <c r="BQ1199" s="58"/>
      <c r="BR1199" s="58"/>
      <c r="BS1199" s="58"/>
      <c r="BT1199" s="58"/>
      <c r="BU1199" s="58"/>
      <c r="BV1199" s="58"/>
      <c r="BW1199" s="58"/>
      <c r="BX1199" s="58"/>
      <c r="BY1199" s="58"/>
      <c r="BZ1199" s="58"/>
      <c r="CA1199" s="58"/>
      <c r="CB1199" s="58"/>
      <c r="CC1199" s="58"/>
      <c r="CD1199" s="58"/>
      <c r="CE1199" s="58"/>
      <c r="CF1199" s="58"/>
      <c r="CG1199" s="58"/>
      <c r="CH1199" s="58"/>
    </row>
    <row r="1200" spans="1:86" s="59" customFormat="1" ht="21.75" hidden="1" customHeight="1" x14ac:dyDescent="0.2">
      <c r="A1200" s="1549">
        <v>22</v>
      </c>
      <c r="B1200" s="1419">
        <v>2242125</v>
      </c>
      <c r="C1200" s="1343" t="s">
        <v>122</v>
      </c>
      <c r="D1200" s="1472">
        <v>1.06</v>
      </c>
      <c r="E1200" s="1554">
        <v>4240</v>
      </c>
      <c r="F1200" s="1472">
        <v>1.06</v>
      </c>
      <c r="G1200" s="1554">
        <v>4240</v>
      </c>
      <c r="H1200" s="89"/>
      <c r="I1200" s="89"/>
      <c r="J1200" s="89"/>
      <c r="K1200" s="89"/>
      <c r="L1200" s="89"/>
      <c r="M1200" s="89"/>
      <c r="N1200" s="89"/>
      <c r="O1200" s="89"/>
      <c r="P1200" s="89"/>
      <c r="Q1200" s="89"/>
      <c r="R1200" s="89"/>
      <c r="S1200" s="209"/>
      <c r="T1200" s="89"/>
      <c r="U1200" s="89"/>
      <c r="V1200" s="89"/>
      <c r="W1200" s="87"/>
      <c r="X1200" s="88"/>
      <c r="Y1200" s="240"/>
      <c r="Z1200" s="88"/>
      <c r="AA1200" s="88"/>
      <c r="AB1200" s="88"/>
      <c r="AC1200" s="88"/>
      <c r="AD1200" s="88"/>
      <c r="AE1200" s="88"/>
      <c r="AF1200" s="174"/>
      <c r="AG1200" s="45"/>
      <c r="AH1200" s="45"/>
      <c r="AI1200" s="800"/>
      <c r="AJ1200" s="1051"/>
      <c r="AK1200" s="44"/>
      <c r="AL1200" s="1279" t="s">
        <v>603</v>
      </c>
      <c r="AM1200" s="1302" t="s">
        <v>604</v>
      </c>
      <c r="AN1200" s="1302" t="s">
        <v>5</v>
      </c>
      <c r="AO1200" s="800"/>
      <c r="AP1200" s="1051" t="s">
        <v>2</v>
      </c>
      <c r="AQ1200" s="1735">
        <f>AO1200*8000</f>
        <v>0</v>
      </c>
      <c r="AR1200" s="295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  <c r="BM1200" s="58"/>
      <c r="BN1200" s="58"/>
      <c r="BO1200" s="58"/>
      <c r="BP1200" s="58"/>
      <c r="BQ1200" s="58"/>
      <c r="BR1200" s="58"/>
      <c r="BS1200" s="58"/>
      <c r="BT1200" s="58"/>
      <c r="BU1200" s="58"/>
      <c r="BV1200" s="58"/>
      <c r="BW1200" s="58"/>
      <c r="BX1200" s="58"/>
      <c r="BY1200" s="58"/>
      <c r="BZ1200" s="58"/>
      <c r="CA1200" s="58"/>
      <c r="CB1200" s="58"/>
      <c r="CC1200" s="58"/>
      <c r="CD1200" s="58"/>
      <c r="CE1200" s="58"/>
      <c r="CF1200" s="58"/>
      <c r="CG1200" s="58"/>
      <c r="CH1200" s="58"/>
    </row>
    <row r="1201" spans="1:86" s="59" customFormat="1" ht="21.75" hidden="1" customHeight="1" x14ac:dyDescent="0.2">
      <c r="A1201" s="1509"/>
      <c r="B1201" s="1420"/>
      <c r="C1201" s="1273"/>
      <c r="D1201" s="1473"/>
      <c r="E1201" s="1556"/>
      <c r="F1201" s="1473"/>
      <c r="G1201" s="1556"/>
      <c r="H1201" s="89"/>
      <c r="I1201" s="89"/>
      <c r="J1201" s="89"/>
      <c r="K1201" s="89"/>
      <c r="L1201" s="89"/>
      <c r="M1201" s="89"/>
      <c r="N1201" s="89"/>
      <c r="O1201" s="89"/>
      <c r="P1201" s="89"/>
      <c r="Q1201" s="89"/>
      <c r="R1201" s="89"/>
      <c r="S1201" s="209"/>
      <c r="T1201" s="89"/>
      <c r="U1201" s="89"/>
      <c r="V1201" s="89"/>
      <c r="W1201" s="87"/>
      <c r="X1201" s="88"/>
      <c r="Y1201" s="240"/>
      <c r="Z1201" s="89"/>
      <c r="AA1201" s="89"/>
      <c r="AB1201" s="89"/>
      <c r="AC1201" s="89"/>
      <c r="AD1201" s="89"/>
      <c r="AE1201" s="89"/>
      <c r="AF1201" s="174"/>
      <c r="AG1201" s="45"/>
      <c r="AH1201" s="45"/>
      <c r="AI1201" s="1051"/>
      <c r="AJ1201" s="1051"/>
      <c r="AK1201" s="44"/>
      <c r="AL1201" s="1268"/>
      <c r="AM1201" s="1293"/>
      <c r="AN1201" s="1293"/>
      <c r="AO1201" s="1051">
        <f>AO1200*4000</f>
        <v>0</v>
      </c>
      <c r="AP1201" s="1051" t="s">
        <v>524</v>
      </c>
      <c r="AQ1201" s="1736"/>
      <c r="AR1201" s="295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  <c r="BM1201" s="58"/>
      <c r="BN1201" s="58"/>
      <c r="BO1201" s="58"/>
      <c r="BP1201" s="58"/>
      <c r="BQ1201" s="58"/>
      <c r="BR1201" s="58"/>
      <c r="BS1201" s="58"/>
      <c r="BT1201" s="58"/>
      <c r="BU1201" s="58"/>
      <c r="BV1201" s="58"/>
      <c r="BW1201" s="58"/>
      <c r="BX1201" s="58"/>
      <c r="BY1201" s="58"/>
      <c r="BZ1201" s="58"/>
      <c r="CA1201" s="58"/>
      <c r="CB1201" s="58"/>
      <c r="CC1201" s="58"/>
      <c r="CD1201" s="58"/>
      <c r="CE1201" s="58"/>
      <c r="CF1201" s="58"/>
      <c r="CG1201" s="58"/>
      <c r="CH1201" s="58"/>
    </row>
    <row r="1202" spans="1:86" s="495" customFormat="1" ht="13.5" hidden="1" customHeight="1" x14ac:dyDescent="0.2">
      <c r="A1202" s="1549"/>
      <c r="B1202" s="1419">
        <v>2242968</v>
      </c>
      <c r="C1202" s="1343" t="s">
        <v>123</v>
      </c>
      <c r="D1202" s="1472">
        <v>0.76</v>
      </c>
      <c r="E1202" s="1554">
        <f>D1202*6000</f>
        <v>4560</v>
      </c>
      <c r="F1202" s="1472">
        <v>0.76</v>
      </c>
      <c r="G1202" s="1554">
        <f>F1202*6000</f>
        <v>4560</v>
      </c>
      <c r="H1202" s="89"/>
      <c r="I1202" s="89"/>
      <c r="J1202" s="89"/>
      <c r="K1202" s="89"/>
      <c r="L1202" s="89"/>
      <c r="M1202" s="89"/>
      <c r="N1202" s="89"/>
      <c r="O1202" s="89"/>
      <c r="P1202" s="89"/>
      <c r="Q1202" s="89"/>
      <c r="R1202" s="89"/>
      <c r="S1202" s="209"/>
      <c r="T1202" s="89"/>
      <c r="U1202" s="89"/>
      <c r="V1202" s="89"/>
      <c r="W1202" s="87"/>
      <c r="X1202" s="88"/>
      <c r="Y1202" s="240"/>
      <c r="Z1202" s="89"/>
      <c r="AA1202" s="89"/>
      <c r="AB1202" s="89"/>
      <c r="AC1202" s="89"/>
      <c r="AD1202" s="89"/>
      <c r="AE1202" s="89"/>
      <c r="AF1202" s="174"/>
      <c r="AG1202" s="45"/>
      <c r="AH1202" s="45"/>
      <c r="AI1202" s="800"/>
      <c r="AJ1202" s="1051"/>
      <c r="AK1202" s="260"/>
      <c r="AL1202" s="1279" t="s">
        <v>605</v>
      </c>
      <c r="AM1202" s="1302" t="s">
        <v>606</v>
      </c>
      <c r="AN1202" s="1302" t="s">
        <v>5</v>
      </c>
      <c r="AO1202" s="800"/>
      <c r="AP1202" s="228" t="s">
        <v>2</v>
      </c>
      <c r="AQ1202" s="1755"/>
      <c r="AR1202" s="295"/>
      <c r="AS1202" s="494"/>
      <c r="AT1202" s="494"/>
      <c r="AU1202" s="494"/>
      <c r="AV1202" s="494"/>
      <c r="AW1202" s="494"/>
      <c r="AX1202" s="494"/>
      <c r="AY1202" s="494"/>
      <c r="AZ1202" s="494"/>
      <c r="BA1202" s="494"/>
      <c r="BB1202" s="494"/>
      <c r="BC1202" s="494"/>
      <c r="BD1202" s="494"/>
      <c r="BE1202" s="494"/>
      <c r="BF1202" s="494"/>
      <c r="BG1202" s="494"/>
      <c r="BH1202" s="494"/>
      <c r="BI1202" s="494"/>
      <c r="BJ1202" s="494"/>
      <c r="BK1202" s="494"/>
      <c r="BL1202" s="494"/>
      <c r="BM1202" s="494"/>
      <c r="BN1202" s="494"/>
      <c r="BO1202" s="494"/>
      <c r="BP1202" s="494"/>
      <c r="BQ1202" s="494"/>
      <c r="BR1202" s="494"/>
      <c r="BS1202" s="494"/>
      <c r="BT1202" s="494"/>
      <c r="BU1202" s="494"/>
      <c r="BV1202" s="494"/>
      <c r="BW1202" s="494"/>
      <c r="BX1202" s="494"/>
      <c r="BY1202" s="494"/>
      <c r="BZ1202" s="494"/>
      <c r="CA1202" s="494"/>
      <c r="CB1202" s="494"/>
      <c r="CC1202" s="494"/>
      <c r="CD1202" s="494"/>
      <c r="CE1202" s="494"/>
      <c r="CF1202" s="494"/>
      <c r="CG1202" s="494"/>
      <c r="CH1202" s="494"/>
    </row>
    <row r="1203" spans="1:86" s="495" customFormat="1" ht="21.75" hidden="1" customHeight="1" x14ac:dyDescent="0.2">
      <c r="A1203" s="1509"/>
      <c r="B1203" s="1964"/>
      <c r="C1203" s="1699"/>
      <c r="D1203" s="1543"/>
      <c r="E1203" s="1555"/>
      <c r="F1203" s="1543"/>
      <c r="G1203" s="1555"/>
      <c r="H1203" s="89"/>
      <c r="I1203" s="89"/>
      <c r="J1203" s="89"/>
      <c r="K1203" s="89"/>
      <c r="L1203" s="89"/>
      <c r="M1203" s="89"/>
      <c r="N1203" s="89"/>
      <c r="O1203" s="89"/>
      <c r="P1203" s="89"/>
      <c r="Q1203" s="89"/>
      <c r="R1203" s="89"/>
      <c r="S1203" s="209"/>
      <c r="T1203" s="89"/>
      <c r="U1203" s="89"/>
      <c r="V1203" s="89"/>
      <c r="W1203" s="87"/>
      <c r="X1203" s="88"/>
      <c r="Y1203" s="240"/>
      <c r="Z1203" s="89"/>
      <c r="AA1203" s="89"/>
      <c r="AB1203" s="89"/>
      <c r="AC1203" s="89"/>
      <c r="AD1203" s="89"/>
      <c r="AE1203" s="89"/>
      <c r="AF1203" s="174"/>
      <c r="AG1203" s="45"/>
      <c r="AH1203" s="45"/>
      <c r="AI1203" s="1051"/>
      <c r="AJ1203" s="1051"/>
      <c r="AK1203" s="260"/>
      <c r="AL1203" s="1261"/>
      <c r="AM1203" s="1267"/>
      <c r="AN1203" s="1293"/>
      <c r="AO1203" s="1051"/>
      <c r="AP1203" s="228" t="s">
        <v>524</v>
      </c>
      <c r="AQ1203" s="1756"/>
      <c r="AR1203" s="295"/>
      <c r="AS1203" s="494"/>
      <c r="AT1203" s="494"/>
      <c r="AU1203" s="494"/>
      <c r="AV1203" s="494"/>
      <c r="AW1203" s="494"/>
      <c r="AX1203" s="494"/>
      <c r="AY1203" s="494"/>
      <c r="AZ1203" s="494"/>
      <c r="BA1203" s="494"/>
      <c r="BB1203" s="494"/>
      <c r="BC1203" s="494"/>
      <c r="BD1203" s="494"/>
      <c r="BE1203" s="494"/>
      <c r="BF1203" s="494"/>
      <c r="BG1203" s="494"/>
      <c r="BH1203" s="494"/>
      <c r="BI1203" s="494"/>
      <c r="BJ1203" s="494"/>
      <c r="BK1203" s="494"/>
      <c r="BL1203" s="494"/>
      <c r="BM1203" s="494"/>
      <c r="BN1203" s="494"/>
      <c r="BO1203" s="494"/>
      <c r="BP1203" s="494"/>
      <c r="BQ1203" s="494"/>
      <c r="BR1203" s="494"/>
      <c r="BS1203" s="494"/>
      <c r="BT1203" s="494"/>
      <c r="BU1203" s="494"/>
      <c r="BV1203" s="494"/>
      <c r="BW1203" s="494"/>
      <c r="BX1203" s="494"/>
      <c r="BY1203" s="494"/>
      <c r="BZ1203" s="494"/>
      <c r="CA1203" s="494"/>
      <c r="CB1203" s="494"/>
      <c r="CC1203" s="494"/>
      <c r="CD1203" s="494"/>
      <c r="CE1203" s="494"/>
      <c r="CF1203" s="494"/>
      <c r="CG1203" s="494"/>
      <c r="CH1203" s="494"/>
    </row>
    <row r="1204" spans="1:86" s="59" customFormat="1" ht="21.75" hidden="1" customHeight="1" x14ac:dyDescent="0.2">
      <c r="A1204" s="1174"/>
      <c r="B1204" s="1420"/>
      <c r="C1204" s="1273"/>
      <c r="D1204" s="1473"/>
      <c r="E1204" s="1556"/>
      <c r="F1204" s="1473"/>
      <c r="G1204" s="1556"/>
      <c r="H1204" s="89"/>
      <c r="I1204" s="89"/>
      <c r="J1204" s="89"/>
      <c r="K1204" s="89"/>
      <c r="L1204" s="89"/>
      <c r="M1204" s="89"/>
      <c r="N1204" s="89"/>
      <c r="O1204" s="89"/>
      <c r="P1204" s="89"/>
      <c r="Q1204" s="89"/>
      <c r="R1204" s="89"/>
      <c r="S1204" s="209"/>
      <c r="T1204" s="89"/>
      <c r="U1204" s="89"/>
      <c r="V1204" s="89"/>
      <c r="W1204" s="87"/>
      <c r="X1204" s="88"/>
      <c r="Y1204" s="240"/>
      <c r="Z1204" s="89"/>
      <c r="AA1204" s="89"/>
      <c r="AB1204" s="89"/>
      <c r="AC1204" s="89"/>
      <c r="AD1204" s="89"/>
      <c r="AE1204" s="89"/>
      <c r="AF1204" s="174"/>
      <c r="AG1204" s="45"/>
      <c r="AH1204" s="1051"/>
      <c r="AI1204" s="1051"/>
      <c r="AJ1204" s="1051"/>
      <c r="AK1204" s="260"/>
      <c r="AL1204" s="1268"/>
      <c r="AM1204" s="1293"/>
      <c r="AN1204" s="1051" t="s">
        <v>35</v>
      </c>
      <c r="AO1204" s="1051">
        <v>2</v>
      </c>
      <c r="AP1204" s="1051" t="s">
        <v>512</v>
      </c>
      <c r="AQ1204" s="1757"/>
      <c r="AR1204" s="295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  <c r="BM1204" s="58"/>
      <c r="BN1204" s="58"/>
      <c r="BO1204" s="58"/>
      <c r="BP1204" s="58"/>
      <c r="BQ1204" s="58"/>
      <c r="BR1204" s="58"/>
      <c r="BS1204" s="58"/>
      <c r="BT1204" s="58"/>
      <c r="BU1204" s="58"/>
      <c r="BV1204" s="58"/>
      <c r="BW1204" s="58"/>
      <c r="BX1204" s="58"/>
      <c r="BY1204" s="58"/>
      <c r="BZ1204" s="58"/>
      <c r="CA1204" s="58"/>
      <c r="CB1204" s="58"/>
      <c r="CC1204" s="58"/>
      <c r="CD1204" s="58"/>
      <c r="CE1204" s="58"/>
      <c r="CF1204" s="58"/>
      <c r="CG1204" s="58"/>
      <c r="CH1204" s="58"/>
    </row>
    <row r="1205" spans="1:86" s="59" customFormat="1" ht="21.75" customHeight="1" x14ac:dyDescent="0.2">
      <c r="A1205" s="1549">
        <v>23</v>
      </c>
      <c r="B1205" s="1419" t="s">
        <v>311</v>
      </c>
      <c r="C1205" s="1343" t="s">
        <v>607</v>
      </c>
      <c r="D1205" s="1472">
        <v>1.65</v>
      </c>
      <c r="E1205" s="1554">
        <f>D1205*7000</f>
        <v>11550</v>
      </c>
      <c r="F1205" s="1472">
        <v>1.65</v>
      </c>
      <c r="G1205" s="1554">
        <f>F1205*7000</f>
        <v>11550</v>
      </c>
      <c r="H1205" s="89"/>
      <c r="I1205" s="89"/>
      <c r="J1205" s="89"/>
      <c r="K1205" s="89"/>
      <c r="L1205" s="89"/>
      <c r="M1205" s="89"/>
      <c r="N1205" s="89"/>
      <c r="O1205" s="89"/>
      <c r="P1205" s="89"/>
      <c r="Q1205" s="89"/>
      <c r="R1205" s="89"/>
      <c r="S1205" s="209"/>
      <c r="T1205" s="89"/>
      <c r="U1205" s="89"/>
      <c r="V1205" s="89"/>
      <c r="W1205" s="87"/>
      <c r="X1205" s="88"/>
      <c r="Y1205" s="240"/>
      <c r="Z1205" s="806"/>
      <c r="AA1205" s="806"/>
      <c r="AB1205" s="89"/>
      <c r="AC1205" s="89"/>
      <c r="AD1205" s="89"/>
      <c r="AE1205" s="806"/>
      <c r="AF1205" s="1279" t="s">
        <v>441</v>
      </c>
      <c r="AG1205" s="1302" t="s">
        <v>602</v>
      </c>
      <c r="AH1205" s="1302" t="s">
        <v>5</v>
      </c>
      <c r="AI1205" s="800">
        <v>1.65</v>
      </c>
      <c r="AJ1205" s="1051" t="s">
        <v>2</v>
      </c>
      <c r="AK1205" s="1735">
        <v>29700</v>
      </c>
      <c r="AL1205" s="174"/>
      <c r="AM1205" s="45"/>
      <c r="AN1205" s="45"/>
      <c r="AO1205" s="800"/>
      <c r="AP1205" s="1051"/>
      <c r="AQ1205" s="504"/>
      <c r="AR1205" s="295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  <c r="BM1205" s="58"/>
      <c r="BN1205" s="58"/>
      <c r="BO1205" s="58"/>
      <c r="BP1205" s="58"/>
      <c r="BQ1205" s="58"/>
      <c r="BR1205" s="58"/>
      <c r="BS1205" s="58"/>
      <c r="BT1205" s="58"/>
      <c r="BU1205" s="58"/>
      <c r="BV1205" s="58"/>
      <c r="BW1205" s="58"/>
      <c r="BX1205" s="58"/>
      <c r="BY1205" s="58"/>
      <c r="BZ1205" s="58"/>
      <c r="CA1205" s="58"/>
      <c r="CB1205" s="58"/>
      <c r="CC1205" s="58"/>
      <c r="CD1205" s="58"/>
      <c r="CE1205" s="58"/>
      <c r="CF1205" s="58"/>
      <c r="CG1205" s="58"/>
      <c r="CH1205" s="58"/>
    </row>
    <row r="1206" spans="1:86" s="59" customFormat="1" ht="21.75" customHeight="1" x14ac:dyDescent="0.2">
      <c r="A1206" s="1509"/>
      <c r="B1206" s="1420"/>
      <c r="C1206" s="1273"/>
      <c r="D1206" s="1473"/>
      <c r="E1206" s="1556"/>
      <c r="F1206" s="1473"/>
      <c r="G1206" s="1556"/>
      <c r="H1206" s="89"/>
      <c r="I1206" s="89"/>
      <c r="J1206" s="89"/>
      <c r="K1206" s="89"/>
      <c r="L1206" s="89"/>
      <c r="M1206" s="89"/>
      <c r="N1206" s="89"/>
      <c r="O1206" s="89"/>
      <c r="P1206" s="89"/>
      <c r="Q1206" s="89"/>
      <c r="R1206" s="89"/>
      <c r="S1206" s="209"/>
      <c r="T1206" s="89"/>
      <c r="U1206" s="89"/>
      <c r="V1206" s="89"/>
      <c r="W1206" s="87"/>
      <c r="X1206" s="88"/>
      <c r="Y1206" s="240"/>
      <c r="Z1206" s="89"/>
      <c r="AA1206" s="89"/>
      <c r="AB1206" s="89"/>
      <c r="AC1206" s="89"/>
      <c r="AD1206" s="89"/>
      <c r="AE1206" s="89"/>
      <c r="AF1206" s="1268"/>
      <c r="AG1206" s="1293"/>
      <c r="AH1206" s="1293"/>
      <c r="AI1206" s="1051">
        <f>AI1205*7000</f>
        <v>11550</v>
      </c>
      <c r="AJ1206" s="1051" t="s">
        <v>524</v>
      </c>
      <c r="AK1206" s="1736"/>
      <c r="AL1206" s="174"/>
      <c r="AM1206" s="45"/>
      <c r="AN1206" s="45"/>
      <c r="AO1206" s="1051"/>
      <c r="AP1206" s="1051"/>
      <c r="AQ1206" s="504"/>
      <c r="AR1206" s="295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  <c r="BM1206" s="58"/>
      <c r="BN1206" s="58"/>
      <c r="BO1206" s="58"/>
      <c r="BP1206" s="58"/>
      <c r="BQ1206" s="58"/>
      <c r="BR1206" s="58"/>
      <c r="BS1206" s="58"/>
      <c r="BT1206" s="58"/>
      <c r="BU1206" s="58"/>
      <c r="BV1206" s="58"/>
      <c r="BW1206" s="58"/>
      <c r="BX1206" s="58"/>
      <c r="BY1206" s="58"/>
      <c r="BZ1206" s="58"/>
      <c r="CA1206" s="58"/>
      <c r="CB1206" s="58"/>
      <c r="CC1206" s="58"/>
      <c r="CD1206" s="58"/>
      <c r="CE1206" s="58"/>
      <c r="CF1206" s="58"/>
      <c r="CG1206" s="58"/>
      <c r="CH1206" s="58"/>
    </row>
    <row r="1207" spans="1:86" s="59" customFormat="1" ht="21.75" hidden="1" customHeight="1" x14ac:dyDescent="0.2">
      <c r="A1207" s="1549">
        <v>35</v>
      </c>
      <c r="B1207" s="1419">
        <v>3404383</v>
      </c>
      <c r="C1207" s="1343" t="s">
        <v>124</v>
      </c>
      <c r="D1207" s="1472">
        <v>0.75</v>
      </c>
      <c r="E1207" s="1554">
        <f>D1207*4000</f>
        <v>3000</v>
      </c>
      <c r="F1207" s="1472">
        <v>0.75</v>
      </c>
      <c r="G1207" s="1554">
        <f>F1207*4000</f>
        <v>3000</v>
      </c>
      <c r="H1207" s="89"/>
      <c r="I1207" s="89"/>
      <c r="J1207" s="89"/>
      <c r="K1207" s="89"/>
      <c r="L1207" s="89"/>
      <c r="M1207" s="89"/>
      <c r="N1207" s="89"/>
      <c r="O1207" s="89"/>
      <c r="P1207" s="89"/>
      <c r="Q1207" s="89"/>
      <c r="R1207" s="89"/>
      <c r="S1207" s="209"/>
      <c r="T1207" s="89"/>
      <c r="U1207" s="89"/>
      <c r="V1207" s="89"/>
      <c r="W1207" s="87"/>
      <c r="X1207" s="88"/>
      <c r="Y1207" s="240"/>
      <c r="Z1207" s="89"/>
      <c r="AA1207" s="89"/>
      <c r="AB1207" s="89"/>
      <c r="AC1207" s="89"/>
      <c r="AD1207" s="89"/>
      <c r="AE1207" s="89"/>
      <c r="AF1207" s="174"/>
      <c r="AG1207" s="45"/>
      <c r="AH1207" s="45"/>
      <c r="AI1207" s="800"/>
      <c r="AJ1207" s="1051"/>
      <c r="AK1207" s="260"/>
      <c r="AL1207" s="1279" t="s">
        <v>585</v>
      </c>
      <c r="AM1207" s="1302" t="s">
        <v>608</v>
      </c>
      <c r="AN1207" s="1302" t="s">
        <v>5</v>
      </c>
      <c r="AO1207" s="800"/>
      <c r="AP1207" s="1051" t="s">
        <v>2</v>
      </c>
      <c r="AQ1207" s="1510">
        <f>AO1207*8000</f>
        <v>0</v>
      </c>
      <c r="AR1207" s="295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  <c r="BM1207" s="58"/>
      <c r="BN1207" s="58"/>
      <c r="BO1207" s="58"/>
      <c r="BP1207" s="58"/>
      <c r="BQ1207" s="58"/>
      <c r="BR1207" s="58"/>
      <c r="BS1207" s="58"/>
      <c r="BT1207" s="58"/>
      <c r="BU1207" s="58"/>
      <c r="BV1207" s="58"/>
      <c r="BW1207" s="58"/>
      <c r="BX1207" s="58"/>
      <c r="BY1207" s="58"/>
      <c r="BZ1207" s="58"/>
      <c r="CA1207" s="58"/>
      <c r="CB1207" s="58"/>
      <c r="CC1207" s="58"/>
      <c r="CD1207" s="58"/>
      <c r="CE1207" s="58"/>
      <c r="CF1207" s="58"/>
      <c r="CG1207" s="58"/>
      <c r="CH1207" s="58"/>
    </row>
    <row r="1208" spans="1:86" s="59" customFormat="1" ht="21.75" hidden="1" customHeight="1" x14ac:dyDescent="0.2">
      <c r="A1208" s="1509"/>
      <c r="B1208" s="1964"/>
      <c r="C1208" s="1699"/>
      <c r="D1208" s="1543"/>
      <c r="E1208" s="1555"/>
      <c r="F1208" s="1543"/>
      <c r="G1208" s="1555"/>
      <c r="H1208" s="89"/>
      <c r="I1208" s="89"/>
      <c r="J1208" s="89"/>
      <c r="K1208" s="89"/>
      <c r="L1208" s="89"/>
      <c r="M1208" s="89"/>
      <c r="N1208" s="89"/>
      <c r="O1208" s="89"/>
      <c r="P1208" s="89"/>
      <c r="Q1208" s="89"/>
      <c r="R1208" s="89"/>
      <c r="S1208" s="209"/>
      <c r="T1208" s="89"/>
      <c r="U1208" s="89"/>
      <c r="V1208" s="89"/>
      <c r="W1208" s="87"/>
      <c r="X1208" s="88"/>
      <c r="Y1208" s="240"/>
      <c r="Z1208" s="89"/>
      <c r="AA1208" s="89"/>
      <c r="AB1208" s="89"/>
      <c r="AC1208" s="89"/>
      <c r="AD1208" s="89"/>
      <c r="AE1208" s="89"/>
      <c r="AF1208" s="174"/>
      <c r="AG1208" s="45"/>
      <c r="AH1208" s="45"/>
      <c r="AI1208" s="1051"/>
      <c r="AJ1208" s="1051"/>
      <c r="AK1208" s="260"/>
      <c r="AL1208" s="1261"/>
      <c r="AM1208" s="1267"/>
      <c r="AN1208" s="1293"/>
      <c r="AO1208" s="1051">
        <f>AO1207*4000</f>
        <v>0</v>
      </c>
      <c r="AP1208" s="1051" t="s">
        <v>524</v>
      </c>
      <c r="AQ1208" s="1511"/>
      <c r="AR1208" s="295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  <c r="BM1208" s="58"/>
      <c r="BN1208" s="58"/>
      <c r="BO1208" s="58"/>
      <c r="BP1208" s="58"/>
      <c r="BQ1208" s="58"/>
      <c r="BR1208" s="58"/>
      <c r="BS1208" s="58"/>
      <c r="BT1208" s="58"/>
      <c r="BU1208" s="58"/>
      <c r="BV1208" s="58"/>
      <c r="BW1208" s="58"/>
      <c r="BX1208" s="58"/>
      <c r="BY1208" s="58"/>
      <c r="BZ1208" s="58"/>
      <c r="CA1208" s="58"/>
      <c r="CB1208" s="58"/>
      <c r="CC1208" s="58"/>
      <c r="CD1208" s="58"/>
      <c r="CE1208" s="58"/>
      <c r="CF1208" s="58"/>
      <c r="CG1208" s="58"/>
      <c r="CH1208" s="58"/>
    </row>
    <row r="1209" spans="1:86" s="59" customFormat="1" ht="21.75" hidden="1" customHeight="1" x14ac:dyDescent="0.2">
      <c r="A1209" s="1174"/>
      <c r="B1209" s="1420"/>
      <c r="C1209" s="1273"/>
      <c r="D1209" s="1473"/>
      <c r="E1209" s="1556"/>
      <c r="F1209" s="1473"/>
      <c r="G1209" s="1556"/>
      <c r="H1209" s="89"/>
      <c r="I1209" s="89"/>
      <c r="J1209" s="89"/>
      <c r="K1209" s="89"/>
      <c r="L1209" s="89"/>
      <c r="M1209" s="89"/>
      <c r="N1209" s="89"/>
      <c r="O1209" s="89"/>
      <c r="P1209" s="89"/>
      <c r="Q1209" s="89"/>
      <c r="R1209" s="89"/>
      <c r="S1209" s="209"/>
      <c r="T1209" s="89"/>
      <c r="U1209" s="89"/>
      <c r="V1209" s="89"/>
      <c r="W1209" s="87"/>
      <c r="X1209" s="88"/>
      <c r="Y1209" s="240"/>
      <c r="Z1209" s="89"/>
      <c r="AA1209" s="89"/>
      <c r="AB1209" s="89"/>
      <c r="AC1209" s="89"/>
      <c r="AD1209" s="89"/>
      <c r="AE1209" s="89"/>
      <c r="AF1209" s="174"/>
      <c r="AG1209" s="45"/>
      <c r="AH1209" s="1051"/>
      <c r="AI1209" s="1051"/>
      <c r="AJ1209" s="1051"/>
      <c r="AK1209" s="260"/>
      <c r="AL1209" s="1268"/>
      <c r="AM1209" s="1293"/>
      <c r="AN1209" s="1051" t="s">
        <v>35</v>
      </c>
      <c r="AO1209" s="1051">
        <v>2</v>
      </c>
      <c r="AP1209" s="1051" t="s">
        <v>512</v>
      </c>
      <c r="AQ1209" s="1512"/>
      <c r="AR1209" s="295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  <c r="BM1209" s="58"/>
      <c r="BN1209" s="58"/>
      <c r="BO1209" s="58"/>
      <c r="BP1209" s="58"/>
      <c r="BQ1209" s="58"/>
      <c r="BR1209" s="58"/>
      <c r="BS1209" s="58"/>
      <c r="BT1209" s="58"/>
      <c r="BU1209" s="58"/>
      <c r="BV1209" s="58"/>
      <c r="BW1209" s="58"/>
      <c r="BX1209" s="58"/>
      <c r="BY1209" s="58"/>
      <c r="BZ1209" s="58"/>
      <c r="CA1209" s="58"/>
      <c r="CB1209" s="58"/>
      <c r="CC1209" s="58"/>
      <c r="CD1209" s="58"/>
      <c r="CE1209" s="58"/>
      <c r="CF1209" s="58"/>
      <c r="CG1209" s="58"/>
      <c r="CH1209" s="58"/>
    </row>
    <row r="1210" spans="1:86" s="59" customFormat="1" ht="21.75" customHeight="1" x14ac:dyDescent="0.2">
      <c r="A1210" s="1549">
        <v>24</v>
      </c>
      <c r="B1210" s="1419">
        <v>2246180</v>
      </c>
      <c r="C1210" s="1678" t="s">
        <v>125</v>
      </c>
      <c r="D1210" s="1472">
        <v>1.37</v>
      </c>
      <c r="E1210" s="1680">
        <f>D1210*6000</f>
        <v>8220</v>
      </c>
      <c r="F1210" s="1472">
        <v>1.37</v>
      </c>
      <c r="G1210" s="1680">
        <v>8220</v>
      </c>
      <c r="H1210" s="89"/>
      <c r="I1210" s="89"/>
      <c r="J1210" s="89"/>
      <c r="K1210" s="89"/>
      <c r="L1210" s="89"/>
      <c r="M1210" s="89"/>
      <c r="N1210" s="89"/>
      <c r="O1210" s="89"/>
      <c r="P1210" s="89"/>
      <c r="Q1210" s="89"/>
      <c r="R1210" s="89"/>
      <c r="S1210" s="209"/>
      <c r="T1210" s="89"/>
      <c r="U1210" s="89"/>
      <c r="V1210" s="89"/>
      <c r="W1210" s="87"/>
      <c r="X1210" s="88"/>
      <c r="Y1210" s="240"/>
      <c r="Z1210" s="89"/>
      <c r="AA1210" s="89"/>
      <c r="AB1210" s="89"/>
      <c r="AC1210" s="89"/>
      <c r="AD1210" s="89"/>
      <c r="AE1210" s="89"/>
      <c r="AF1210" s="1691" t="s">
        <v>441</v>
      </c>
      <c r="AG1210" s="1691" t="s">
        <v>1506</v>
      </c>
      <c r="AH1210" s="1302" t="s">
        <v>5</v>
      </c>
      <c r="AI1210" s="975">
        <v>1.37</v>
      </c>
      <c r="AJ1210" s="1051" t="s">
        <v>2</v>
      </c>
      <c r="AK1210" s="1510">
        <v>25893</v>
      </c>
      <c r="AL1210" s="268"/>
      <c r="AM1210" s="268"/>
      <c r="AN1210" s="45"/>
      <c r="AO1210" s="975"/>
      <c r="AP1210" s="1051"/>
      <c r="AQ1210" s="503"/>
      <c r="AR1210" s="295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  <c r="BM1210" s="58"/>
      <c r="BN1210" s="58"/>
      <c r="BO1210" s="58"/>
      <c r="BP1210" s="58"/>
      <c r="BQ1210" s="58"/>
      <c r="BR1210" s="58"/>
      <c r="BS1210" s="58"/>
      <c r="BT1210" s="58"/>
      <c r="BU1210" s="58"/>
      <c r="BV1210" s="58"/>
      <c r="BW1210" s="58"/>
      <c r="BX1210" s="58"/>
      <c r="BY1210" s="58"/>
      <c r="BZ1210" s="58"/>
      <c r="CA1210" s="58"/>
      <c r="CB1210" s="58"/>
      <c r="CC1210" s="58"/>
      <c r="CD1210" s="58"/>
      <c r="CE1210" s="58"/>
      <c r="CF1210" s="58"/>
      <c r="CG1210" s="58"/>
      <c r="CH1210" s="58"/>
    </row>
    <row r="1211" spans="1:86" s="59" customFormat="1" ht="21.75" customHeight="1" x14ac:dyDescent="0.2">
      <c r="A1211" s="1509"/>
      <c r="B1211" s="1420"/>
      <c r="C1211" s="1679"/>
      <c r="D1211" s="1473"/>
      <c r="E1211" s="1681"/>
      <c r="F1211" s="1473"/>
      <c r="G1211" s="1681"/>
      <c r="H1211" s="89"/>
      <c r="I1211" s="89"/>
      <c r="J1211" s="89"/>
      <c r="K1211" s="89"/>
      <c r="L1211" s="89"/>
      <c r="M1211" s="89"/>
      <c r="N1211" s="89"/>
      <c r="O1211" s="89"/>
      <c r="P1211" s="89"/>
      <c r="Q1211" s="89"/>
      <c r="R1211" s="89"/>
      <c r="S1211" s="209"/>
      <c r="T1211" s="89"/>
      <c r="U1211" s="89"/>
      <c r="V1211" s="89"/>
      <c r="W1211" s="87"/>
      <c r="X1211" s="88"/>
      <c r="Y1211" s="240"/>
      <c r="Z1211" s="89"/>
      <c r="AA1211" s="89"/>
      <c r="AB1211" s="89"/>
      <c r="AC1211" s="89"/>
      <c r="AD1211" s="89"/>
      <c r="AE1211" s="89"/>
      <c r="AF1211" s="1692"/>
      <c r="AG1211" s="1692"/>
      <c r="AH1211" s="1293"/>
      <c r="AI1211" s="928">
        <f>AI1210*6000</f>
        <v>8220</v>
      </c>
      <c r="AJ1211" s="1051" t="s">
        <v>524</v>
      </c>
      <c r="AK1211" s="1512"/>
      <c r="AL1211" s="268"/>
      <c r="AM1211" s="268"/>
      <c r="AN1211" s="45"/>
      <c r="AO1211" s="928"/>
      <c r="AP1211" s="1051"/>
      <c r="AQ1211" s="503"/>
      <c r="AR1211" s="295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  <c r="BM1211" s="58"/>
      <c r="BN1211" s="58"/>
      <c r="BO1211" s="58"/>
      <c r="BP1211" s="58"/>
      <c r="BQ1211" s="58"/>
      <c r="BR1211" s="58"/>
      <c r="BS1211" s="58"/>
      <c r="BT1211" s="58"/>
      <c r="BU1211" s="58"/>
      <c r="BV1211" s="58"/>
      <c r="BW1211" s="58"/>
      <c r="BX1211" s="58"/>
      <c r="BY1211" s="58"/>
      <c r="BZ1211" s="58"/>
      <c r="CA1211" s="58"/>
      <c r="CB1211" s="58"/>
      <c r="CC1211" s="58"/>
      <c r="CD1211" s="58"/>
      <c r="CE1211" s="58"/>
      <c r="CF1211" s="58"/>
      <c r="CG1211" s="58"/>
      <c r="CH1211" s="58"/>
    </row>
    <row r="1212" spans="1:86" s="59" customFormat="1" ht="21.75" hidden="1" customHeight="1" x14ac:dyDescent="0.2">
      <c r="A1212" s="1549">
        <v>25</v>
      </c>
      <c r="B1212" s="1685" t="s">
        <v>305</v>
      </c>
      <c r="C1212" s="1343" t="s">
        <v>92</v>
      </c>
      <c r="D1212" s="1472">
        <v>1.35</v>
      </c>
      <c r="E1212" s="1554">
        <f>D1212*4000</f>
        <v>5400</v>
      </c>
      <c r="F1212" s="1472">
        <v>1.35</v>
      </c>
      <c r="G1212" s="1554">
        <f>F1212*4000</f>
        <v>5400</v>
      </c>
      <c r="H1212" s="89"/>
      <c r="I1212" s="89"/>
      <c r="J1212" s="89"/>
      <c r="K1212" s="89"/>
      <c r="L1212" s="89"/>
      <c r="M1212" s="89"/>
      <c r="N1212" s="89"/>
      <c r="O1212" s="89"/>
      <c r="P1212" s="89"/>
      <c r="Q1212" s="89"/>
      <c r="R1212" s="89"/>
      <c r="S1212" s="209"/>
      <c r="T1212" s="89"/>
      <c r="U1212" s="89"/>
      <c r="V1212" s="89"/>
      <c r="W1212" s="87"/>
      <c r="X1212" s="88"/>
      <c r="Y1212" s="240"/>
      <c r="Z1212" s="89"/>
      <c r="AA1212" s="89"/>
      <c r="AB1212" s="89"/>
      <c r="AC1212" s="89"/>
      <c r="AD1212" s="89"/>
      <c r="AE1212" s="89"/>
      <c r="AF1212" s="46"/>
      <c r="AG1212" s="46"/>
      <c r="AH1212" s="45"/>
      <c r="AI1212" s="33"/>
      <c r="AJ1212" s="32"/>
      <c r="AK1212" s="47"/>
      <c r="AL1212" s="1664" t="s">
        <v>612</v>
      </c>
      <c r="AM1212" s="1664" t="s">
        <v>613</v>
      </c>
      <c r="AN1212" s="1302" t="s">
        <v>5</v>
      </c>
      <c r="AO1212" s="33"/>
      <c r="AP1212" s="32" t="s">
        <v>2</v>
      </c>
      <c r="AQ1212" s="1753">
        <f>AO1212*8000</f>
        <v>0</v>
      </c>
      <c r="AR1212" s="295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  <c r="BM1212" s="58"/>
      <c r="BN1212" s="58"/>
      <c r="BO1212" s="58"/>
      <c r="BP1212" s="58"/>
      <c r="BQ1212" s="58"/>
      <c r="BR1212" s="58"/>
      <c r="BS1212" s="58"/>
      <c r="BT1212" s="58"/>
      <c r="BU1212" s="58"/>
      <c r="BV1212" s="58"/>
      <c r="BW1212" s="58"/>
      <c r="BX1212" s="58"/>
      <c r="BY1212" s="58"/>
      <c r="BZ1212" s="58"/>
      <c r="CA1212" s="58"/>
      <c r="CB1212" s="58"/>
      <c r="CC1212" s="58"/>
      <c r="CD1212" s="58"/>
      <c r="CE1212" s="58"/>
      <c r="CF1212" s="58"/>
      <c r="CG1212" s="58"/>
      <c r="CH1212" s="58"/>
    </row>
    <row r="1213" spans="1:86" s="59" customFormat="1" ht="21.75" hidden="1" customHeight="1" x14ac:dyDescent="0.2">
      <c r="A1213" s="1509"/>
      <c r="B1213" s="1409"/>
      <c r="C1213" s="1273"/>
      <c r="D1213" s="1473"/>
      <c r="E1213" s="1556"/>
      <c r="F1213" s="1473"/>
      <c r="G1213" s="1556"/>
      <c r="H1213" s="89"/>
      <c r="I1213" s="89"/>
      <c r="J1213" s="89"/>
      <c r="K1213" s="89"/>
      <c r="L1213" s="89"/>
      <c r="M1213" s="89"/>
      <c r="N1213" s="89"/>
      <c r="O1213" s="89"/>
      <c r="P1213" s="89"/>
      <c r="Q1213" s="89"/>
      <c r="R1213" s="89"/>
      <c r="S1213" s="209"/>
      <c r="T1213" s="89"/>
      <c r="U1213" s="89"/>
      <c r="V1213" s="89"/>
      <c r="W1213" s="87"/>
      <c r="X1213" s="88"/>
      <c r="Y1213" s="240"/>
      <c r="Z1213" s="89"/>
      <c r="AA1213" s="89"/>
      <c r="AB1213" s="89"/>
      <c r="AC1213" s="89"/>
      <c r="AD1213" s="89"/>
      <c r="AE1213" s="89"/>
      <c r="AF1213" s="46"/>
      <c r="AG1213" s="46"/>
      <c r="AH1213" s="45"/>
      <c r="AI1213" s="32"/>
      <c r="AJ1213" s="32"/>
      <c r="AK1213" s="47"/>
      <c r="AL1213" s="1665"/>
      <c r="AM1213" s="1665"/>
      <c r="AN1213" s="1293"/>
      <c r="AO1213" s="32">
        <f>AO1212*4000</f>
        <v>0</v>
      </c>
      <c r="AP1213" s="32" t="s">
        <v>3</v>
      </c>
      <c r="AQ1213" s="1754"/>
      <c r="AR1213" s="295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  <c r="BM1213" s="58"/>
      <c r="BN1213" s="58"/>
      <c r="BO1213" s="58"/>
      <c r="BP1213" s="58"/>
      <c r="BQ1213" s="58"/>
      <c r="BR1213" s="58"/>
      <c r="BS1213" s="58"/>
      <c r="BT1213" s="58"/>
      <c r="BU1213" s="58"/>
      <c r="BV1213" s="58"/>
      <c r="BW1213" s="58"/>
      <c r="BX1213" s="58"/>
      <c r="BY1213" s="58"/>
      <c r="BZ1213" s="58"/>
      <c r="CA1213" s="58"/>
      <c r="CB1213" s="58"/>
      <c r="CC1213" s="58"/>
      <c r="CD1213" s="58"/>
      <c r="CE1213" s="58"/>
      <c r="CF1213" s="58"/>
      <c r="CG1213" s="58"/>
      <c r="CH1213" s="58"/>
    </row>
    <row r="1214" spans="1:86" s="59" customFormat="1" ht="21.75" hidden="1" customHeight="1" x14ac:dyDescent="0.2">
      <c r="A1214" s="1549">
        <v>26</v>
      </c>
      <c r="B1214" s="1685">
        <v>2238986</v>
      </c>
      <c r="C1214" s="1343" t="s">
        <v>93</v>
      </c>
      <c r="D1214" s="1472">
        <v>0.6</v>
      </c>
      <c r="E1214" s="1470">
        <v>3600</v>
      </c>
      <c r="F1214" s="1676">
        <v>0.6</v>
      </c>
      <c r="G1214" s="1672">
        <v>3600</v>
      </c>
      <c r="H1214" s="89"/>
      <c r="I1214" s="89"/>
      <c r="J1214" s="89"/>
      <c r="K1214" s="89"/>
      <c r="L1214" s="89"/>
      <c r="M1214" s="89"/>
      <c r="N1214" s="89"/>
      <c r="O1214" s="89"/>
      <c r="P1214" s="89"/>
      <c r="Q1214" s="89"/>
      <c r="R1214" s="89"/>
      <c r="S1214" s="209"/>
      <c r="T1214" s="89"/>
      <c r="U1214" s="89"/>
      <c r="V1214" s="89"/>
      <c r="W1214" s="87"/>
      <c r="X1214" s="88"/>
      <c r="Y1214" s="240"/>
      <c r="Z1214" s="89"/>
      <c r="AA1214" s="89"/>
      <c r="AB1214" s="89"/>
      <c r="AC1214" s="89"/>
      <c r="AD1214" s="89"/>
      <c r="AE1214" s="89"/>
      <c r="AF1214" s="46"/>
      <c r="AG1214" s="46"/>
      <c r="AH1214" s="45"/>
      <c r="AI1214" s="33"/>
      <c r="AJ1214" s="32"/>
      <c r="AK1214" s="47"/>
      <c r="AL1214" s="1664" t="s">
        <v>609</v>
      </c>
      <c r="AM1214" s="1664" t="s">
        <v>531</v>
      </c>
      <c r="AN1214" s="1302" t="s">
        <v>5</v>
      </c>
      <c r="AO1214" s="33"/>
      <c r="AP1214" s="32" t="s">
        <v>2</v>
      </c>
      <c r="AQ1214" s="1753">
        <f>AO1214*8000</f>
        <v>0</v>
      </c>
      <c r="AR1214" s="295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  <c r="BM1214" s="58"/>
      <c r="BN1214" s="58"/>
      <c r="BO1214" s="58"/>
      <c r="BP1214" s="58"/>
      <c r="BQ1214" s="58"/>
      <c r="BR1214" s="58"/>
      <c r="BS1214" s="58"/>
      <c r="BT1214" s="58"/>
      <c r="BU1214" s="58"/>
      <c r="BV1214" s="58"/>
      <c r="BW1214" s="58"/>
      <c r="BX1214" s="58"/>
      <c r="BY1214" s="58"/>
      <c r="BZ1214" s="58"/>
      <c r="CA1214" s="58"/>
      <c r="CB1214" s="58"/>
      <c r="CC1214" s="58"/>
      <c r="CD1214" s="58"/>
      <c r="CE1214" s="58"/>
      <c r="CF1214" s="58"/>
      <c r="CG1214" s="58"/>
      <c r="CH1214" s="58"/>
    </row>
    <row r="1215" spans="1:86" s="59" customFormat="1" ht="21.75" hidden="1" customHeight="1" x14ac:dyDescent="0.2">
      <c r="A1215" s="1509"/>
      <c r="B1215" s="1409"/>
      <c r="C1215" s="1273"/>
      <c r="D1215" s="1473"/>
      <c r="E1215" s="1471"/>
      <c r="F1215" s="1677"/>
      <c r="G1215" s="1673"/>
      <c r="H1215" s="89"/>
      <c r="I1215" s="89"/>
      <c r="J1215" s="89"/>
      <c r="K1215" s="89"/>
      <c r="L1215" s="89"/>
      <c r="M1215" s="89"/>
      <c r="N1215" s="89"/>
      <c r="O1215" s="89"/>
      <c r="P1215" s="89"/>
      <c r="Q1215" s="89"/>
      <c r="R1215" s="89"/>
      <c r="S1215" s="209"/>
      <c r="T1215" s="89"/>
      <c r="U1215" s="89"/>
      <c r="V1215" s="89"/>
      <c r="W1215" s="87"/>
      <c r="X1215" s="88"/>
      <c r="Y1215" s="240"/>
      <c r="Z1215" s="89"/>
      <c r="AA1215" s="89"/>
      <c r="AB1215" s="89"/>
      <c r="AC1215" s="89"/>
      <c r="AD1215" s="89"/>
      <c r="AE1215" s="89"/>
      <c r="AF1215" s="46"/>
      <c r="AG1215" s="46"/>
      <c r="AH1215" s="45"/>
      <c r="AI1215" s="32"/>
      <c r="AJ1215" s="32"/>
      <c r="AK1215" s="47"/>
      <c r="AL1215" s="1665"/>
      <c r="AM1215" s="1665"/>
      <c r="AN1215" s="1293"/>
      <c r="AO1215" s="32">
        <f>AO1214*6000</f>
        <v>0</v>
      </c>
      <c r="AP1215" s="32" t="s">
        <v>3</v>
      </c>
      <c r="AQ1215" s="1754"/>
      <c r="AR1215" s="295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  <c r="BM1215" s="58"/>
      <c r="BN1215" s="58"/>
      <c r="BO1215" s="58"/>
      <c r="BP1215" s="58"/>
      <c r="BQ1215" s="58"/>
      <c r="BR1215" s="58"/>
      <c r="BS1215" s="58"/>
      <c r="BT1215" s="58"/>
      <c r="BU1215" s="58"/>
      <c r="BV1215" s="58"/>
      <c r="BW1215" s="58"/>
      <c r="BX1215" s="58"/>
      <c r="BY1215" s="58"/>
      <c r="BZ1215" s="58"/>
      <c r="CA1215" s="58"/>
      <c r="CB1215" s="58"/>
      <c r="CC1215" s="58"/>
      <c r="CD1215" s="58"/>
      <c r="CE1215" s="58"/>
      <c r="CF1215" s="58"/>
      <c r="CG1215" s="58"/>
      <c r="CH1215" s="58"/>
    </row>
    <row r="1216" spans="1:86" s="59" customFormat="1" ht="18.75" hidden="1" customHeight="1" x14ac:dyDescent="0.2">
      <c r="A1216" s="1549">
        <v>27</v>
      </c>
      <c r="B1216" s="1279">
        <v>2238134</v>
      </c>
      <c r="C1216" s="1678" t="s">
        <v>91</v>
      </c>
      <c r="D1216" s="1472">
        <v>0.61</v>
      </c>
      <c r="E1216" s="1687">
        <v>2428</v>
      </c>
      <c r="F1216" s="1676">
        <v>0.61</v>
      </c>
      <c r="G1216" s="1672">
        <v>2428</v>
      </c>
      <c r="H1216" s="89"/>
      <c r="I1216" s="89"/>
      <c r="J1216" s="89"/>
      <c r="K1216" s="89"/>
      <c r="L1216" s="89"/>
      <c r="M1216" s="89"/>
      <c r="N1216" s="89"/>
      <c r="O1216" s="89"/>
      <c r="P1216" s="89"/>
      <c r="Q1216" s="89"/>
      <c r="R1216" s="89"/>
      <c r="S1216" s="209"/>
      <c r="T1216" s="89"/>
      <c r="U1216" s="89"/>
      <c r="V1216" s="89"/>
      <c r="W1216" s="87"/>
      <c r="X1216" s="88"/>
      <c r="Y1216" s="240"/>
      <c r="Z1216" s="89"/>
      <c r="AA1216" s="89"/>
      <c r="AB1216" s="89"/>
      <c r="AC1216" s="89"/>
      <c r="AD1216" s="89"/>
      <c r="AE1216" s="89"/>
      <c r="AF1216" s="46"/>
      <c r="AG1216" s="46"/>
      <c r="AH1216" s="45"/>
      <c r="AI1216" s="32"/>
      <c r="AJ1216" s="32"/>
      <c r="AK1216" s="47"/>
      <c r="AL1216" s="1664" t="s">
        <v>441</v>
      </c>
      <c r="AM1216" s="1664" t="s">
        <v>694</v>
      </c>
      <c r="AN1216" s="1302" t="s">
        <v>5</v>
      </c>
      <c r="AO1216" s="32"/>
      <c r="AP1216" s="32" t="s">
        <v>2</v>
      </c>
      <c r="AQ1216" s="1753">
        <f>AO1216*8000</f>
        <v>0</v>
      </c>
      <c r="AR1216" s="295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  <c r="BM1216" s="58"/>
      <c r="BN1216" s="58"/>
      <c r="BO1216" s="58"/>
      <c r="BP1216" s="58"/>
      <c r="BQ1216" s="58"/>
      <c r="BR1216" s="58"/>
      <c r="BS1216" s="58"/>
      <c r="BT1216" s="58"/>
      <c r="BU1216" s="58"/>
      <c r="BV1216" s="58"/>
      <c r="BW1216" s="58"/>
      <c r="BX1216" s="58"/>
      <c r="BY1216" s="58"/>
      <c r="BZ1216" s="58"/>
      <c r="CA1216" s="58"/>
      <c r="CB1216" s="58"/>
      <c r="CC1216" s="58"/>
      <c r="CD1216" s="58"/>
      <c r="CE1216" s="58"/>
      <c r="CF1216" s="58"/>
      <c r="CG1216" s="58"/>
      <c r="CH1216" s="58"/>
    </row>
    <row r="1217" spans="1:86" s="59" customFormat="1" ht="21.75" hidden="1" customHeight="1" x14ac:dyDescent="0.2">
      <c r="A1217" s="1509"/>
      <c r="B1217" s="1268"/>
      <c r="C1217" s="1679"/>
      <c r="D1217" s="1473"/>
      <c r="E1217" s="1688"/>
      <c r="F1217" s="1677"/>
      <c r="G1217" s="1673"/>
      <c r="H1217" s="89"/>
      <c r="I1217" s="89"/>
      <c r="J1217" s="89"/>
      <c r="K1217" s="89"/>
      <c r="L1217" s="89"/>
      <c r="M1217" s="89"/>
      <c r="N1217" s="89"/>
      <c r="O1217" s="89"/>
      <c r="P1217" s="89"/>
      <c r="Q1217" s="89"/>
      <c r="R1217" s="89"/>
      <c r="S1217" s="209"/>
      <c r="T1217" s="89"/>
      <c r="U1217" s="89"/>
      <c r="V1217" s="89"/>
      <c r="W1217" s="87"/>
      <c r="X1217" s="88"/>
      <c r="Y1217" s="240"/>
      <c r="Z1217" s="89"/>
      <c r="AA1217" s="89"/>
      <c r="AB1217" s="89"/>
      <c r="AC1217" s="89"/>
      <c r="AD1217" s="89"/>
      <c r="AE1217" s="89"/>
      <c r="AF1217" s="46"/>
      <c r="AG1217" s="46"/>
      <c r="AH1217" s="45"/>
      <c r="AI1217" s="32"/>
      <c r="AJ1217" s="32"/>
      <c r="AK1217" s="47"/>
      <c r="AL1217" s="1665"/>
      <c r="AM1217" s="1665"/>
      <c r="AN1217" s="1293"/>
      <c r="AO1217" s="60">
        <f>AO1216*3980</f>
        <v>0</v>
      </c>
      <c r="AP1217" s="32" t="s">
        <v>3</v>
      </c>
      <c r="AQ1217" s="1754"/>
      <c r="AR1217" s="295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  <c r="BM1217" s="58"/>
      <c r="BN1217" s="58"/>
      <c r="BO1217" s="58"/>
      <c r="BP1217" s="58"/>
      <c r="BQ1217" s="58"/>
      <c r="BR1217" s="58"/>
      <c r="BS1217" s="58"/>
      <c r="BT1217" s="58"/>
      <c r="BU1217" s="58"/>
      <c r="BV1217" s="58"/>
      <c r="BW1217" s="58"/>
      <c r="BX1217" s="58"/>
      <c r="BY1217" s="58"/>
      <c r="BZ1217" s="58"/>
      <c r="CA1217" s="58"/>
      <c r="CB1217" s="58"/>
      <c r="CC1217" s="58"/>
      <c r="CD1217" s="58"/>
      <c r="CE1217" s="58"/>
      <c r="CF1217" s="58"/>
      <c r="CG1217" s="58"/>
      <c r="CH1217" s="58"/>
    </row>
    <row r="1218" spans="1:86" s="59" customFormat="1" ht="21.75" hidden="1" customHeight="1" x14ac:dyDescent="0.2">
      <c r="A1218" s="1549">
        <v>28</v>
      </c>
      <c r="B1218" s="1279" t="s">
        <v>306</v>
      </c>
      <c r="C1218" s="1343" t="s">
        <v>98</v>
      </c>
      <c r="D1218" s="1472">
        <v>0.91</v>
      </c>
      <c r="E1218" s="1554">
        <f>D1218*4000</f>
        <v>3640</v>
      </c>
      <c r="F1218" s="1472">
        <v>0.91</v>
      </c>
      <c r="G1218" s="1554">
        <f>F1218*4000</f>
        <v>3640</v>
      </c>
      <c r="H1218" s="89"/>
      <c r="I1218" s="89"/>
      <c r="J1218" s="89"/>
      <c r="K1218" s="89"/>
      <c r="L1218" s="89"/>
      <c r="M1218" s="89"/>
      <c r="N1218" s="89"/>
      <c r="O1218" s="89"/>
      <c r="P1218" s="89"/>
      <c r="Q1218" s="89"/>
      <c r="R1218" s="89"/>
      <c r="S1218" s="209"/>
      <c r="T1218" s="89"/>
      <c r="U1218" s="89"/>
      <c r="V1218" s="89"/>
      <c r="W1218" s="87"/>
      <c r="X1218" s="88"/>
      <c r="Y1218" s="240"/>
      <c r="Z1218" s="89"/>
      <c r="AA1218" s="89"/>
      <c r="AB1218" s="89"/>
      <c r="AC1218" s="89"/>
      <c r="AD1218" s="89"/>
      <c r="AE1218" s="89"/>
      <c r="AF1218" s="46"/>
      <c r="AG1218" s="46"/>
      <c r="AH1218" s="45"/>
      <c r="AI1218" s="33"/>
      <c r="AJ1218" s="32"/>
      <c r="AK1218" s="47"/>
      <c r="AL1218" s="1664" t="s">
        <v>614</v>
      </c>
      <c r="AM1218" s="1664" t="s">
        <v>488</v>
      </c>
      <c r="AN1218" s="1302" t="s">
        <v>5</v>
      </c>
      <c r="AO1218" s="33"/>
      <c r="AP1218" s="32" t="s">
        <v>2</v>
      </c>
      <c r="AQ1218" s="1753">
        <f>AO1218*8000</f>
        <v>0</v>
      </c>
      <c r="AR1218" s="295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  <c r="BM1218" s="58"/>
      <c r="BN1218" s="58"/>
      <c r="BO1218" s="58"/>
      <c r="BP1218" s="58"/>
      <c r="BQ1218" s="58"/>
      <c r="BR1218" s="58"/>
      <c r="BS1218" s="58"/>
      <c r="BT1218" s="58"/>
      <c r="BU1218" s="58"/>
      <c r="BV1218" s="58"/>
      <c r="BW1218" s="58"/>
      <c r="BX1218" s="58"/>
      <c r="BY1218" s="58"/>
      <c r="BZ1218" s="58"/>
      <c r="CA1218" s="58"/>
      <c r="CB1218" s="58"/>
      <c r="CC1218" s="58"/>
      <c r="CD1218" s="58"/>
      <c r="CE1218" s="58"/>
      <c r="CF1218" s="58"/>
      <c r="CG1218" s="58"/>
      <c r="CH1218" s="58"/>
    </row>
    <row r="1219" spans="1:86" s="59" customFormat="1" ht="21.75" hidden="1" customHeight="1" x14ac:dyDescent="0.2">
      <c r="A1219" s="1509"/>
      <c r="B1219" s="1268"/>
      <c r="C1219" s="1273"/>
      <c r="D1219" s="1473"/>
      <c r="E1219" s="1556"/>
      <c r="F1219" s="1473"/>
      <c r="G1219" s="1556"/>
      <c r="H1219" s="89"/>
      <c r="I1219" s="89"/>
      <c r="J1219" s="89"/>
      <c r="K1219" s="89"/>
      <c r="L1219" s="89"/>
      <c r="M1219" s="89"/>
      <c r="N1219" s="89"/>
      <c r="O1219" s="89"/>
      <c r="P1219" s="89"/>
      <c r="Q1219" s="89"/>
      <c r="R1219" s="89"/>
      <c r="S1219" s="209"/>
      <c r="T1219" s="89"/>
      <c r="U1219" s="89"/>
      <c r="V1219" s="89"/>
      <c r="W1219" s="87"/>
      <c r="X1219" s="88"/>
      <c r="Y1219" s="240"/>
      <c r="Z1219" s="89"/>
      <c r="AA1219" s="89"/>
      <c r="AB1219" s="89"/>
      <c r="AC1219" s="89"/>
      <c r="AD1219" s="89"/>
      <c r="AE1219" s="89"/>
      <c r="AF1219" s="46"/>
      <c r="AG1219" s="46"/>
      <c r="AH1219" s="45"/>
      <c r="AI1219" s="32"/>
      <c r="AJ1219" s="32"/>
      <c r="AK1219" s="47"/>
      <c r="AL1219" s="1665"/>
      <c r="AM1219" s="1665"/>
      <c r="AN1219" s="1293"/>
      <c r="AO1219" s="32">
        <f>AO1218*4000</f>
        <v>0</v>
      </c>
      <c r="AP1219" s="32" t="s">
        <v>3</v>
      </c>
      <c r="AQ1219" s="1754"/>
      <c r="AR1219" s="295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  <c r="BM1219" s="58"/>
      <c r="BN1219" s="58"/>
      <c r="BO1219" s="58"/>
      <c r="BP1219" s="58"/>
      <c r="BQ1219" s="58"/>
      <c r="BR1219" s="58"/>
      <c r="BS1219" s="58"/>
      <c r="BT1219" s="58"/>
      <c r="BU1219" s="58"/>
      <c r="BV1219" s="58"/>
      <c r="BW1219" s="58"/>
      <c r="BX1219" s="58"/>
      <c r="BY1219" s="58"/>
      <c r="BZ1219" s="58"/>
      <c r="CA1219" s="58"/>
      <c r="CB1219" s="58"/>
      <c r="CC1219" s="58"/>
      <c r="CD1219" s="58"/>
      <c r="CE1219" s="58"/>
      <c r="CF1219" s="58"/>
      <c r="CG1219" s="58"/>
      <c r="CH1219" s="58"/>
    </row>
    <row r="1220" spans="1:86" s="59" customFormat="1" ht="27" hidden="1" customHeight="1" x14ac:dyDescent="0.2">
      <c r="A1220" s="1549">
        <v>41</v>
      </c>
      <c r="B1220" s="1279">
        <v>2246771</v>
      </c>
      <c r="C1220" s="1678" t="s">
        <v>97</v>
      </c>
      <c r="D1220" s="1472">
        <v>0.72</v>
      </c>
      <c r="E1220" s="1687">
        <v>2880</v>
      </c>
      <c r="F1220" s="1472">
        <v>0.72</v>
      </c>
      <c r="G1220" s="1687">
        <v>2880</v>
      </c>
      <c r="H1220" s="89"/>
      <c r="I1220" s="89"/>
      <c r="J1220" s="89"/>
      <c r="K1220" s="89"/>
      <c r="L1220" s="89"/>
      <c r="M1220" s="89"/>
      <c r="N1220" s="89"/>
      <c r="O1220" s="89"/>
      <c r="P1220" s="89"/>
      <c r="Q1220" s="89"/>
      <c r="R1220" s="89"/>
      <c r="S1220" s="209"/>
      <c r="T1220" s="89"/>
      <c r="U1220" s="89"/>
      <c r="V1220" s="89"/>
      <c r="W1220" s="87"/>
      <c r="X1220" s="88"/>
      <c r="Y1220" s="240"/>
      <c r="Z1220" s="89"/>
      <c r="AA1220" s="89"/>
      <c r="AB1220" s="89"/>
      <c r="AC1220" s="89"/>
      <c r="AD1220" s="89"/>
      <c r="AE1220" s="89"/>
      <c r="AF1220" s="46"/>
      <c r="AG1220" s="46"/>
      <c r="AH1220" s="45"/>
      <c r="AI1220" s="32"/>
      <c r="AJ1220" s="32"/>
      <c r="AK1220" s="47"/>
      <c r="AL1220" s="1664" t="s">
        <v>441</v>
      </c>
      <c r="AM1220" s="1664" t="s">
        <v>695</v>
      </c>
      <c r="AN1220" s="1302" t="s">
        <v>5</v>
      </c>
      <c r="AO1220" s="32"/>
      <c r="AP1220" s="32" t="s">
        <v>2</v>
      </c>
      <c r="AQ1220" s="1753">
        <f>AO1220*8000</f>
        <v>0</v>
      </c>
      <c r="AR1220" s="295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  <c r="BM1220" s="58"/>
      <c r="BN1220" s="58"/>
      <c r="BO1220" s="58"/>
      <c r="BP1220" s="58"/>
      <c r="BQ1220" s="58"/>
      <c r="BR1220" s="58"/>
      <c r="BS1220" s="58"/>
      <c r="BT1220" s="58"/>
      <c r="BU1220" s="58"/>
      <c r="BV1220" s="58"/>
      <c r="BW1220" s="58"/>
      <c r="BX1220" s="58"/>
      <c r="BY1220" s="58"/>
      <c r="BZ1220" s="58"/>
      <c r="CA1220" s="58"/>
      <c r="CB1220" s="58"/>
      <c r="CC1220" s="58"/>
      <c r="CD1220" s="58"/>
      <c r="CE1220" s="58"/>
      <c r="CF1220" s="58"/>
      <c r="CG1220" s="58"/>
      <c r="CH1220" s="58"/>
    </row>
    <row r="1221" spans="1:86" s="59" customFormat="1" ht="21.75" hidden="1" customHeight="1" x14ac:dyDescent="0.2">
      <c r="A1221" s="1509"/>
      <c r="B1221" s="1268"/>
      <c r="C1221" s="1679"/>
      <c r="D1221" s="1473"/>
      <c r="E1221" s="1688"/>
      <c r="F1221" s="1473"/>
      <c r="G1221" s="1688"/>
      <c r="H1221" s="89"/>
      <c r="I1221" s="89"/>
      <c r="J1221" s="89"/>
      <c r="K1221" s="89"/>
      <c r="L1221" s="89"/>
      <c r="M1221" s="89"/>
      <c r="N1221" s="89"/>
      <c r="O1221" s="89"/>
      <c r="P1221" s="89"/>
      <c r="Q1221" s="89"/>
      <c r="R1221" s="89"/>
      <c r="S1221" s="209"/>
      <c r="T1221" s="89"/>
      <c r="U1221" s="89"/>
      <c r="V1221" s="89"/>
      <c r="W1221" s="87"/>
      <c r="X1221" s="88"/>
      <c r="Y1221" s="240"/>
      <c r="Z1221" s="89"/>
      <c r="AA1221" s="89"/>
      <c r="AB1221" s="89"/>
      <c r="AC1221" s="89"/>
      <c r="AD1221" s="89"/>
      <c r="AE1221" s="89"/>
      <c r="AF1221" s="46"/>
      <c r="AG1221" s="46"/>
      <c r="AH1221" s="45"/>
      <c r="AI1221" s="32"/>
      <c r="AJ1221" s="32"/>
      <c r="AK1221" s="47"/>
      <c r="AL1221" s="1665"/>
      <c r="AM1221" s="1665"/>
      <c r="AN1221" s="1293"/>
      <c r="AO1221" s="32">
        <f>AO1220*4000</f>
        <v>0</v>
      </c>
      <c r="AP1221" s="32" t="s">
        <v>3</v>
      </c>
      <c r="AQ1221" s="1754"/>
      <c r="AR1221" s="295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  <c r="BM1221" s="58"/>
      <c r="BN1221" s="58"/>
      <c r="BO1221" s="58"/>
      <c r="BP1221" s="58"/>
      <c r="BQ1221" s="58"/>
      <c r="BR1221" s="58"/>
      <c r="BS1221" s="58"/>
      <c r="BT1221" s="58"/>
      <c r="BU1221" s="58"/>
      <c r="BV1221" s="58"/>
      <c r="BW1221" s="58"/>
      <c r="BX1221" s="58"/>
      <c r="BY1221" s="58"/>
      <c r="BZ1221" s="58"/>
      <c r="CA1221" s="58"/>
      <c r="CB1221" s="58"/>
      <c r="CC1221" s="58"/>
      <c r="CD1221" s="58"/>
      <c r="CE1221" s="58"/>
      <c r="CF1221" s="58"/>
      <c r="CG1221" s="58"/>
      <c r="CH1221" s="58"/>
    </row>
    <row r="1222" spans="1:86" s="59" customFormat="1" ht="21.75" hidden="1" customHeight="1" x14ac:dyDescent="0.2">
      <c r="A1222" s="1174"/>
      <c r="B1222" s="1279" t="s">
        <v>308</v>
      </c>
      <c r="C1222" s="1343" t="s">
        <v>101</v>
      </c>
      <c r="D1222" s="1472">
        <v>1.35</v>
      </c>
      <c r="E1222" s="1554">
        <f>D1222*4000</f>
        <v>5400</v>
      </c>
      <c r="F1222" s="1472">
        <v>1.35</v>
      </c>
      <c r="G1222" s="1554">
        <f>F1222*4000</f>
        <v>5400</v>
      </c>
      <c r="H1222" s="89"/>
      <c r="I1222" s="89"/>
      <c r="J1222" s="89"/>
      <c r="K1222" s="89"/>
      <c r="L1222" s="89"/>
      <c r="M1222" s="89"/>
      <c r="N1222" s="89"/>
      <c r="O1222" s="89"/>
      <c r="P1222" s="89"/>
      <c r="Q1222" s="89"/>
      <c r="R1222" s="89"/>
      <c r="S1222" s="209"/>
      <c r="T1222" s="89"/>
      <c r="U1222" s="89"/>
      <c r="V1222" s="89"/>
      <c r="W1222" s="87"/>
      <c r="X1222" s="88"/>
      <c r="Y1222" s="240"/>
      <c r="Z1222" s="89"/>
      <c r="AA1222" s="89"/>
      <c r="AB1222" s="89"/>
      <c r="AC1222" s="89"/>
      <c r="AD1222" s="89"/>
      <c r="AE1222" s="89"/>
      <c r="AF1222" s="46"/>
      <c r="AG1222" s="46"/>
      <c r="AH1222" s="45"/>
      <c r="AI1222" s="33"/>
      <c r="AJ1222" s="32"/>
      <c r="AK1222" s="47"/>
      <c r="AL1222" s="1664" t="s">
        <v>615</v>
      </c>
      <c r="AM1222" s="1664" t="s">
        <v>613</v>
      </c>
      <c r="AN1222" s="1302" t="s">
        <v>5</v>
      </c>
      <c r="AO1222" s="33">
        <v>1.27</v>
      </c>
      <c r="AP1222" s="32" t="s">
        <v>2</v>
      </c>
      <c r="AQ1222" s="1753">
        <f>AO1222*8000</f>
        <v>10160</v>
      </c>
      <c r="AR1222" s="295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  <c r="BM1222" s="58"/>
      <c r="BN1222" s="58"/>
      <c r="BO1222" s="58"/>
      <c r="BP1222" s="58"/>
      <c r="BQ1222" s="58"/>
      <c r="BR1222" s="58"/>
      <c r="BS1222" s="58"/>
      <c r="BT1222" s="58"/>
      <c r="BU1222" s="58"/>
      <c r="BV1222" s="58"/>
      <c r="BW1222" s="58"/>
      <c r="BX1222" s="58"/>
      <c r="BY1222" s="58"/>
      <c r="BZ1222" s="58"/>
      <c r="CA1222" s="58"/>
      <c r="CB1222" s="58"/>
      <c r="CC1222" s="58"/>
      <c r="CD1222" s="58"/>
      <c r="CE1222" s="58"/>
      <c r="CF1222" s="58"/>
      <c r="CG1222" s="58"/>
      <c r="CH1222" s="58"/>
    </row>
    <row r="1223" spans="1:86" s="59" customFormat="1" ht="21.75" hidden="1" customHeight="1" x14ac:dyDescent="0.2">
      <c r="A1223" s="1174"/>
      <c r="B1223" s="1268"/>
      <c r="C1223" s="1273"/>
      <c r="D1223" s="1473"/>
      <c r="E1223" s="1556"/>
      <c r="F1223" s="1473"/>
      <c r="G1223" s="1556"/>
      <c r="H1223" s="89"/>
      <c r="I1223" s="89"/>
      <c r="J1223" s="89"/>
      <c r="K1223" s="89"/>
      <c r="L1223" s="89"/>
      <c r="M1223" s="89"/>
      <c r="N1223" s="89"/>
      <c r="O1223" s="89"/>
      <c r="P1223" s="89"/>
      <c r="Q1223" s="89"/>
      <c r="R1223" s="89"/>
      <c r="S1223" s="209"/>
      <c r="T1223" s="89"/>
      <c r="U1223" s="89"/>
      <c r="V1223" s="89"/>
      <c r="W1223" s="87"/>
      <c r="X1223" s="88"/>
      <c r="Y1223" s="240"/>
      <c r="Z1223" s="89"/>
      <c r="AA1223" s="89"/>
      <c r="AB1223" s="89"/>
      <c r="AC1223" s="89"/>
      <c r="AD1223" s="89"/>
      <c r="AE1223" s="89"/>
      <c r="AF1223" s="46"/>
      <c r="AG1223" s="46"/>
      <c r="AH1223" s="45"/>
      <c r="AI1223" s="32"/>
      <c r="AJ1223" s="32"/>
      <c r="AK1223" s="47"/>
      <c r="AL1223" s="1665"/>
      <c r="AM1223" s="1665"/>
      <c r="AN1223" s="1293"/>
      <c r="AO1223" s="32">
        <f>AO1222*4000</f>
        <v>5080</v>
      </c>
      <c r="AP1223" s="32" t="s">
        <v>3</v>
      </c>
      <c r="AQ1223" s="1754"/>
      <c r="AR1223" s="89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  <c r="BM1223" s="58"/>
      <c r="BN1223" s="58"/>
      <c r="BO1223" s="58"/>
      <c r="BP1223" s="58"/>
      <c r="BQ1223" s="58"/>
      <c r="BR1223" s="58"/>
      <c r="BS1223" s="58"/>
      <c r="BT1223" s="58"/>
      <c r="BU1223" s="58"/>
      <c r="BV1223" s="58"/>
      <c r="BW1223" s="58"/>
      <c r="BX1223" s="58"/>
      <c r="BY1223" s="58"/>
      <c r="BZ1223" s="58"/>
      <c r="CA1223" s="58"/>
      <c r="CB1223" s="58"/>
      <c r="CC1223" s="58"/>
      <c r="CD1223" s="58"/>
      <c r="CE1223" s="58"/>
      <c r="CF1223" s="58"/>
      <c r="CG1223" s="58"/>
      <c r="CH1223" s="58"/>
    </row>
    <row r="1224" spans="1:86" s="59" customFormat="1" ht="21.75" hidden="1" customHeight="1" x14ac:dyDescent="0.2">
      <c r="A1224" s="1174"/>
      <c r="B1224" s="1279">
        <v>2244382</v>
      </c>
      <c r="C1224" s="1343" t="s">
        <v>111</v>
      </c>
      <c r="D1224" s="1472">
        <v>0.6</v>
      </c>
      <c r="E1224" s="1554">
        <v>2400</v>
      </c>
      <c r="F1224" s="1676">
        <v>0.6</v>
      </c>
      <c r="G1224" s="1672">
        <v>2400</v>
      </c>
      <c r="H1224" s="89"/>
      <c r="I1224" s="89"/>
      <c r="J1224" s="89"/>
      <c r="K1224" s="89"/>
      <c r="L1224" s="89"/>
      <c r="M1224" s="89"/>
      <c r="N1224" s="89"/>
      <c r="O1224" s="89"/>
      <c r="P1224" s="89"/>
      <c r="Q1224" s="89"/>
      <c r="R1224" s="89"/>
      <c r="S1224" s="209"/>
      <c r="T1224" s="89"/>
      <c r="U1224" s="89"/>
      <c r="V1224" s="89"/>
      <c r="W1224" s="87"/>
      <c r="X1224" s="88"/>
      <c r="Y1224" s="240"/>
      <c r="Z1224" s="89"/>
      <c r="AA1224" s="89"/>
      <c r="AB1224" s="89"/>
      <c r="AC1224" s="89"/>
      <c r="AD1224" s="89"/>
      <c r="AE1224" s="89"/>
      <c r="AF1224" s="46"/>
      <c r="AG1224" s="46"/>
      <c r="AH1224" s="45"/>
      <c r="AI1224" s="32"/>
      <c r="AJ1224" s="32"/>
      <c r="AK1224" s="47"/>
      <c r="AL1224" s="1664" t="s">
        <v>610</v>
      </c>
      <c r="AM1224" s="1664" t="s">
        <v>531</v>
      </c>
      <c r="AN1224" s="1302" t="s">
        <v>5</v>
      </c>
      <c r="AO1224" s="32">
        <v>0.24599999999999997</v>
      </c>
      <c r="AP1224" s="32" t="s">
        <v>2</v>
      </c>
      <c r="AQ1224" s="1753">
        <f>AO1224*8000</f>
        <v>1967.9999999999998</v>
      </c>
      <c r="AR1224" s="295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  <c r="BM1224" s="58"/>
      <c r="BN1224" s="58"/>
      <c r="BO1224" s="58"/>
      <c r="BP1224" s="58"/>
      <c r="BQ1224" s="58"/>
      <c r="BR1224" s="58"/>
      <c r="BS1224" s="58"/>
      <c r="BT1224" s="58"/>
      <c r="BU1224" s="58"/>
      <c r="BV1224" s="58"/>
      <c r="BW1224" s="58"/>
      <c r="BX1224" s="58"/>
      <c r="BY1224" s="58"/>
      <c r="BZ1224" s="58"/>
      <c r="CA1224" s="58"/>
      <c r="CB1224" s="58"/>
      <c r="CC1224" s="58"/>
      <c r="CD1224" s="58"/>
      <c r="CE1224" s="58"/>
      <c r="CF1224" s="58"/>
      <c r="CG1224" s="58"/>
      <c r="CH1224" s="58"/>
    </row>
    <row r="1225" spans="1:86" s="59" customFormat="1" ht="21.75" hidden="1" customHeight="1" x14ac:dyDescent="0.2">
      <c r="A1225" s="1174"/>
      <c r="B1225" s="1268"/>
      <c r="C1225" s="1273"/>
      <c r="D1225" s="1473"/>
      <c r="E1225" s="1556"/>
      <c r="F1225" s="1677"/>
      <c r="G1225" s="1673"/>
      <c r="H1225" s="89"/>
      <c r="I1225" s="89"/>
      <c r="J1225" s="89"/>
      <c r="K1225" s="89"/>
      <c r="L1225" s="89"/>
      <c r="M1225" s="89"/>
      <c r="N1225" s="89"/>
      <c r="O1225" s="89"/>
      <c r="P1225" s="89"/>
      <c r="Q1225" s="89"/>
      <c r="R1225" s="89"/>
      <c r="S1225" s="209"/>
      <c r="T1225" s="89"/>
      <c r="U1225" s="89"/>
      <c r="V1225" s="89"/>
      <c r="W1225" s="87"/>
      <c r="X1225" s="88"/>
      <c r="Y1225" s="240"/>
      <c r="Z1225" s="89"/>
      <c r="AA1225" s="89"/>
      <c r="AB1225" s="89"/>
      <c r="AC1225" s="89"/>
      <c r="AD1225" s="89"/>
      <c r="AE1225" s="89"/>
      <c r="AF1225" s="46"/>
      <c r="AG1225" s="46"/>
      <c r="AH1225" s="45"/>
      <c r="AI1225" s="32"/>
      <c r="AJ1225" s="32"/>
      <c r="AK1225" s="47"/>
      <c r="AL1225" s="1665"/>
      <c r="AM1225" s="1665"/>
      <c r="AN1225" s="1293"/>
      <c r="AO1225" s="32">
        <f>AO1224*4000</f>
        <v>983.99999999999989</v>
      </c>
      <c r="AP1225" s="32" t="s">
        <v>3</v>
      </c>
      <c r="AQ1225" s="1754"/>
      <c r="AR1225" s="89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  <c r="BM1225" s="58"/>
      <c r="BN1225" s="58"/>
      <c r="BO1225" s="58"/>
      <c r="BP1225" s="58"/>
      <c r="BQ1225" s="58"/>
      <c r="BR1225" s="58"/>
      <c r="BS1225" s="58"/>
      <c r="BT1225" s="58"/>
      <c r="BU1225" s="58"/>
      <c r="BV1225" s="58"/>
      <c r="BW1225" s="58"/>
      <c r="BX1225" s="58"/>
      <c r="BY1225" s="58"/>
      <c r="BZ1225" s="58"/>
      <c r="CA1225" s="58"/>
      <c r="CB1225" s="58"/>
      <c r="CC1225" s="58"/>
      <c r="CD1225" s="58"/>
      <c r="CE1225" s="58"/>
      <c r="CF1225" s="58"/>
      <c r="CG1225" s="58"/>
      <c r="CH1225" s="58"/>
    </row>
    <row r="1226" spans="1:86" s="59" customFormat="1" ht="21.75" hidden="1" customHeight="1" x14ac:dyDescent="0.2">
      <c r="A1226" s="1174"/>
      <c r="B1226" s="1279">
        <v>2238378</v>
      </c>
      <c r="C1226" s="1343" t="s">
        <v>110</v>
      </c>
      <c r="D1226" s="1472">
        <v>0.52</v>
      </c>
      <c r="E1226" s="1554">
        <v>2080</v>
      </c>
      <c r="F1226" s="1676">
        <v>0.52</v>
      </c>
      <c r="G1226" s="1672">
        <v>2080</v>
      </c>
      <c r="H1226" s="89"/>
      <c r="I1226" s="89"/>
      <c r="J1226" s="89"/>
      <c r="K1226" s="89"/>
      <c r="L1226" s="89"/>
      <c r="M1226" s="89"/>
      <c r="N1226" s="89"/>
      <c r="O1226" s="89"/>
      <c r="P1226" s="89"/>
      <c r="Q1226" s="89"/>
      <c r="R1226" s="89"/>
      <c r="S1226" s="209"/>
      <c r="T1226" s="89"/>
      <c r="U1226" s="89"/>
      <c r="V1226" s="89"/>
      <c r="W1226" s="87"/>
      <c r="X1226" s="88"/>
      <c r="Y1226" s="240"/>
      <c r="Z1226" s="89"/>
      <c r="AA1226" s="89"/>
      <c r="AB1226" s="89"/>
      <c r="AC1226" s="89"/>
      <c r="AD1226" s="89"/>
      <c r="AE1226" s="89"/>
      <c r="AF1226" s="46"/>
      <c r="AG1226" s="46"/>
      <c r="AH1226" s="45"/>
      <c r="AI1226" s="33"/>
      <c r="AJ1226" s="32"/>
      <c r="AK1226" s="47"/>
      <c r="AL1226" s="1664" t="s">
        <v>611</v>
      </c>
      <c r="AM1226" s="1664" t="s">
        <v>474</v>
      </c>
      <c r="AN1226" s="1302" t="s">
        <v>5</v>
      </c>
      <c r="AO1226" s="33">
        <v>0.23920000000000002</v>
      </c>
      <c r="AP1226" s="32" t="s">
        <v>2</v>
      </c>
      <c r="AQ1226" s="1753">
        <f>AO1226*8000</f>
        <v>1913.6000000000001</v>
      </c>
      <c r="AR1226" s="295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  <c r="BM1226" s="58"/>
      <c r="BN1226" s="58"/>
      <c r="BO1226" s="58"/>
      <c r="BP1226" s="58"/>
      <c r="BQ1226" s="58"/>
      <c r="BR1226" s="58"/>
      <c r="BS1226" s="58"/>
      <c r="BT1226" s="58"/>
      <c r="BU1226" s="58"/>
      <c r="BV1226" s="58"/>
      <c r="BW1226" s="58"/>
      <c r="BX1226" s="58"/>
      <c r="BY1226" s="58"/>
      <c r="BZ1226" s="58"/>
      <c r="CA1226" s="58"/>
      <c r="CB1226" s="58"/>
      <c r="CC1226" s="58"/>
      <c r="CD1226" s="58"/>
      <c r="CE1226" s="58"/>
      <c r="CF1226" s="58"/>
      <c r="CG1226" s="58"/>
      <c r="CH1226" s="58"/>
    </row>
    <row r="1227" spans="1:86" s="59" customFormat="1" ht="21.75" hidden="1" customHeight="1" x14ac:dyDescent="0.2">
      <c r="A1227" s="1174"/>
      <c r="B1227" s="1268"/>
      <c r="C1227" s="1273"/>
      <c r="D1227" s="1473"/>
      <c r="E1227" s="1556"/>
      <c r="F1227" s="1677"/>
      <c r="G1227" s="1673"/>
      <c r="H1227" s="89"/>
      <c r="I1227" s="89"/>
      <c r="J1227" s="89"/>
      <c r="K1227" s="89"/>
      <c r="L1227" s="89"/>
      <c r="M1227" s="89"/>
      <c r="N1227" s="89"/>
      <c r="O1227" s="89"/>
      <c r="P1227" s="89"/>
      <c r="Q1227" s="89"/>
      <c r="R1227" s="89"/>
      <c r="S1227" s="209"/>
      <c r="T1227" s="89"/>
      <c r="U1227" s="89"/>
      <c r="V1227" s="89"/>
      <c r="W1227" s="87"/>
      <c r="X1227" s="88"/>
      <c r="Y1227" s="240"/>
      <c r="Z1227" s="89"/>
      <c r="AA1227" s="89"/>
      <c r="AB1227" s="89"/>
      <c r="AC1227" s="89"/>
      <c r="AD1227" s="89"/>
      <c r="AE1227" s="89"/>
      <c r="AF1227" s="46"/>
      <c r="AG1227" s="46"/>
      <c r="AH1227" s="45"/>
      <c r="AI1227" s="32"/>
      <c r="AJ1227" s="32"/>
      <c r="AK1227" s="47"/>
      <c r="AL1227" s="1665"/>
      <c r="AM1227" s="1665"/>
      <c r="AN1227" s="1293"/>
      <c r="AO1227" s="32">
        <f>AO1226*4000</f>
        <v>956.80000000000007</v>
      </c>
      <c r="AP1227" s="32" t="s">
        <v>3</v>
      </c>
      <c r="AQ1227" s="1754"/>
      <c r="AR1227" s="89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  <c r="BM1227" s="58"/>
      <c r="BN1227" s="58"/>
      <c r="BO1227" s="58"/>
      <c r="BP1227" s="58"/>
      <c r="BQ1227" s="58"/>
      <c r="BR1227" s="58"/>
      <c r="BS1227" s="58"/>
      <c r="BT1227" s="58"/>
      <c r="BU1227" s="58"/>
      <c r="BV1227" s="58"/>
      <c r="BW1227" s="58"/>
      <c r="BX1227" s="58"/>
      <c r="BY1227" s="58"/>
      <c r="BZ1227" s="58"/>
      <c r="CA1227" s="58"/>
      <c r="CB1227" s="58"/>
      <c r="CC1227" s="58"/>
      <c r="CD1227" s="58"/>
      <c r="CE1227" s="58"/>
      <c r="CF1227" s="58"/>
      <c r="CG1227" s="58"/>
      <c r="CH1227" s="58"/>
    </row>
    <row r="1228" spans="1:86" s="59" customFormat="1" ht="40.5" customHeight="1" thickBot="1" x14ac:dyDescent="0.25">
      <c r="A1228" s="355"/>
      <c r="B1228" s="356"/>
      <c r="C1228" s="370" t="s">
        <v>1027</v>
      </c>
      <c r="D1228" s="345"/>
      <c r="E1228" s="345"/>
      <c r="F1228" s="345"/>
      <c r="G1228" s="345"/>
      <c r="H1228" s="357"/>
      <c r="I1228" s="357"/>
      <c r="J1228" s="357"/>
      <c r="K1228" s="357"/>
      <c r="L1228" s="357"/>
      <c r="M1228" s="357"/>
      <c r="N1228" s="357"/>
      <c r="O1228" s="357"/>
      <c r="P1228" s="357"/>
      <c r="Q1228" s="357"/>
      <c r="R1228" s="357"/>
      <c r="S1228" s="347"/>
      <c r="T1228" s="357"/>
      <c r="U1228" s="357"/>
      <c r="V1228" s="357"/>
      <c r="W1228" s="356">
        <f>W1263</f>
        <v>3.2</v>
      </c>
      <c r="X1228" s="356"/>
      <c r="Y1228" s="347">
        <f>Y1263+Y1265</f>
        <v>35584.269090000002</v>
      </c>
      <c r="Z1228" s="357"/>
      <c r="AA1228" s="357"/>
      <c r="AB1228" s="357"/>
      <c r="AC1228" s="357">
        <f>AC1229+AC1239+AC1249+AC1255+AC1259+AC1265+AC1267+AC1299</f>
        <v>16.690000000000001</v>
      </c>
      <c r="AD1228" s="357"/>
      <c r="AE1228" s="347">
        <f>AE1229+AE1239+AE1249+AE1255+AE1259+AE1265+AE1267+AE1299+1386.04165</f>
        <v>118621.05311000001</v>
      </c>
      <c r="AF1228" s="89"/>
      <c r="AG1228" s="89"/>
      <c r="AH1228" s="89"/>
      <c r="AI1228" s="89">
        <f>AI1253+AI1261+AI1271+AI1277+AI1289+AI1299+AI1301+AI1303+0.694</f>
        <v>10.888999999999999</v>
      </c>
      <c r="AJ1228" s="89"/>
      <c r="AK1228" s="209">
        <f>AK1253+AK1261+AK1271+AK1277+AK1289+AK1299+AK1301+AK1303</f>
        <v>97797.89499999999</v>
      </c>
      <c r="AL1228" s="1012"/>
      <c r="AM1228" s="89"/>
      <c r="AN1228" s="89"/>
      <c r="AO1228" s="89">
        <f>AO1259+AO1261+AO1263+AO1267+AO1269+AO1271+AO1273+AO1281+AO1279+AO1277+AO1275+AO1283+AO1285+AO1287+AO1289+AO1291+AO1293+AO1295+AO1297+AO1299+AO1301+AO1235+AO1247+AO1305</f>
        <v>8.14</v>
      </c>
      <c r="AP1228" s="89"/>
      <c r="AQ1228" s="209">
        <f>AQ1259+AQ1261+AQ1263+AQ1267+AQ1269+AQ1271+AQ1273+AQ1275+AQ1277+AQ1279+AQ1281+AQ1283+AQ1285+AQ1287+AQ1289+AQ1291+AQ1293+AQ1295+AQ1297+AQ1299+AQ1301+AQ1235+AQ1247+AQ1305+20297.895</f>
        <v>97797.895000000004</v>
      </c>
      <c r="AR1228" s="89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  <c r="BM1228" s="58"/>
      <c r="BN1228" s="58"/>
      <c r="BO1228" s="58"/>
      <c r="BP1228" s="58"/>
      <c r="BQ1228" s="58"/>
      <c r="BR1228" s="58"/>
      <c r="BS1228" s="58"/>
      <c r="BT1228" s="58"/>
      <c r="BU1228" s="58"/>
      <c r="BV1228" s="58"/>
      <c r="BW1228" s="58"/>
      <c r="BX1228" s="58"/>
      <c r="BY1228" s="58"/>
      <c r="BZ1228" s="58"/>
      <c r="CA1228" s="58"/>
      <c r="CB1228" s="58"/>
      <c r="CC1228" s="58"/>
      <c r="CD1228" s="58"/>
      <c r="CE1228" s="58"/>
      <c r="CF1228" s="58"/>
      <c r="CG1228" s="58"/>
      <c r="CH1228" s="58"/>
    </row>
    <row r="1229" spans="1:86" s="122" customFormat="1" ht="21.75" customHeight="1" x14ac:dyDescent="0.2">
      <c r="A1229" s="1647">
        <v>1</v>
      </c>
      <c r="B1229" s="1515">
        <v>3399237</v>
      </c>
      <c r="C1229" s="1517" t="s">
        <v>566</v>
      </c>
      <c r="D1229" s="1539">
        <v>2.4</v>
      </c>
      <c r="E1229" s="1537">
        <v>7900</v>
      </c>
      <c r="F1229" s="1539">
        <v>2.4</v>
      </c>
      <c r="G1229" s="1537">
        <v>7900</v>
      </c>
      <c r="H1229" s="383"/>
      <c r="I1229" s="383"/>
      <c r="J1229" s="383"/>
      <c r="K1229" s="383"/>
      <c r="L1229" s="383"/>
      <c r="M1229" s="383"/>
      <c r="N1229" s="383"/>
      <c r="O1229" s="383"/>
      <c r="P1229" s="383"/>
      <c r="Q1229" s="383"/>
      <c r="R1229" s="383"/>
      <c r="S1229" s="384"/>
      <c r="T1229" s="383"/>
      <c r="U1229" s="383"/>
      <c r="V1229" s="383"/>
      <c r="W1229" s="385"/>
      <c r="X1229" s="383"/>
      <c r="Y1229" s="386"/>
      <c r="Z1229" s="1533" t="s">
        <v>441</v>
      </c>
      <c r="AA1229" s="1535" t="s">
        <v>1508</v>
      </c>
      <c r="AB1229" s="1221" t="s">
        <v>495</v>
      </c>
      <c r="AC1229" s="387">
        <v>1.75</v>
      </c>
      <c r="AD1229" s="388" t="s">
        <v>2</v>
      </c>
      <c r="AE1229" s="1522">
        <v>11855.822539999999</v>
      </c>
      <c r="AF1229" s="354"/>
      <c r="AG1229" s="153"/>
      <c r="AH1229" s="153"/>
      <c r="AI1229" s="153"/>
      <c r="AJ1229" s="153"/>
      <c r="AK1229" s="1197"/>
      <c r="AL1229" s="153"/>
      <c r="AM1229" s="153"/>
      <c r="AN1229" s="153"/>
      <c r="AO1229" s="153"/>
      <c r="AP1229" s="153"/>
      <c r="AQ1229" s="153"/>
      <c r="AR1229" s="153"/>
      <c r="AS1229" s="121"/>
      <c r="AT1229" s="121"/>
      <c r="AU1229" s="121"/>
      <c r="AV1229" s="121"/>
      <c r="AW1229" s="121"/>
      <c r="AX1229" s="121"/>
      <c r="AY1229" s="121"/>
      <c r="AZ1229" s="121"/>
      <c r="BA1229" s="121"/>
      <c r="BB1229" s="121"/>
      <c r="BC1229" s="121"/>
      <c r="BD1229" s="121"/>
      <c r="BE1229" s="121"/>
      <c r="BF1229" s="121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21"/>
      <c r="BS1229" s="121"/>
      <c r="BT1229" s="121"/>
      <c r="BU1229" s="121"/>
      <c r="BV1229" s="121"/>
      <c r="BW1229" s="121"/>
      <c r="BX1229" s="121"/>
      <c r="BY1229" s="121"/>
      <c r="BZ1229" s="121"/>
      <c r="CA1229" s="121"/>
      <c r="CB1229" s="121"/>
      <c r="CC1229" s="121"/>
      <c r="CD1229" s="121"/>
      <c r="CE1229" s="121"/>
      <c r="CF1229" s="121"/>
      <c r="CG1229" s="121"/>
      <c r="CH1229" s="121"/>
    </row>
    <row r="1230" spans="1:86" s="122" customFormat="1" ht="21.75" customHeight="1" thickBot="1" x14ac:dyDescent="0.25">
      <c r="A1230" s="1648"/>
      <c r="B1230" s="1516"/>
      <c r="C1230" s="1518"/>
      <c r="D1230" s="1540"/>
      <c r="E1230" s="1538"/>
      <c r="F1230" s="1540"/>
      <c r="G1230" s="1538"/>
      <c r="H1230" s="389"/>
      <c r="I1230" s="389"/>
      <c r="J1230" s="389"/>
      <c r="K1230" s="389"/>
      <c r="L1230" s="389"/>
      <c r="M1230" s="389"/>
      <c r="N1230" s="389"/>
      <c r="O1230" s="389"/>
      <c r="P1230" s="389"/>
      <c r="Q1230" s="389"/>
      <c r="R1230" s="389"/>
      <c r="S1230" s="390"/>
      <c r="T1230" s="389"/>
      <c r="U1230" s="389"/>
      <c r="V1230" s="389"/>
      <c r="W1230" s="391"/>
      <c r="X1230" s="392"/>
      <c r="Y1230" s="393"/>
      <c r="Z1230" s="1534"/>
      <c r="AA1230" s="1536"/>
      <c r="AB1230" s="1218"/>
      <c r="AC1230" s="394">
        <v>7900</v>
      </c>
      <c r="AD1230" s="394" t="s">
        <v>3</v>
      </c>
      <c r="AE1230" s="1523"/>
      <c r="AF1230" s="382"/>
      <c r="AG1230" s="153"/>
      <c r="AH1230" s="153"/>
      <c r="AI1230" s="153"/>
      <c r="AJ1230" s="153"/>
      <c r="AK1230" s="153"/>
      <c r="AL1230" s="153"/>
      <c r="AM1230" s="153"/>
      <c r="AN1230" s="153"/>
      <c r="AO1230" s="153"/>
      <c r="AP1230" s="153"/>
      <c r="AQ1230" s="153"/>
      <c r="AR1230" s="153"/>
      <c r="AS1230" s="121"/>
      <c r="AT1230" s="121"/>
      <c r="AU1230" s="121"/>
      <c r="AV1230" s="121"/>
      <c r="AW1230" s="121"/>
      <c r="AX1230" s="121"/>
      <c r="AY1230" s="121"/>
      <c r="AZ1230" s="121"/>
      <c r="BA1230" s="121"/>
      <c r="BB1230" s="121"/>
      <c r="BC1230" s="121"/>
      <c r="BD1230" s="121"/>
      <c r="BE1230" s="121"/>
      <c r="BF1230" s="121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21"/>
      <c r="BS1230" s="121"/>
      <c r="BT1230" s="121"/>
      <c r="BU1230" s="121"/>
      <c r="BV1230" s="121"/>
      <c r="BW1230" s="121"/>
      <c r="BX1230" s="121"/>
      <c r="BY1230" s="121"/>
      <c r="BZ1230" s="121"/>
      <c r="CA1230" s="121"/>
      <c r="CB1230" s="121"/>
      <c r="CC1230" s="121"/>
      <c r="CD1230" s="121"/>
      <c r="CE1230" s="121"/>
      <c r="CF1230" s="121"/>
      <c r="CG1230" s="121"/>
      <c r="CH1230" s="121"/>
    </row>
    <row r="1231" spans="1:86" s="122" customFormat="1" ht="21.75" hidden="1" customHeight="1" x14ac:dyDescent="0.2">
      <c r="A1231" s="1647">
        <v>2</v>
      </c>
      <c r="B1231" s="1515">
        <v>3399212</v>
      </c>
      <c r="C1231" s="1517" t="s">
        <v>250</v>
      </c>
      <c r="D1231" s="1539">
        <v>0.7</v>
      </c>
      <c r="E1231" s="1537">
        <v>3150</v>
      </c>
      <c r="F1231" s="1539">
        <v>0.7</v>
      </c>
      <c r="G1231" s="1537">
        <v>3150</v>
      </c>
      <c r="H1231" s="383"/>
      <c r="I1231" s="383"/>
      <c r="J1231" s="383"/>
      <c r="K1231" s="383"/>
      <c r="L1231" s="383"/>
      <c r="M1231" s="383"/>
      <c r="N1231" s="383"/>
      <c r="O1231" s="383"/>
      <c r="P1231" s="383"/>
      <c r="Q1231" s="383"/>
      <c r="R1231" s="383"/>
      <c r="S1231" s="384"/>
      <c r="T1231" s="383"/>
      <c r="U1231" s="383"/>
      <c r="V1231" s="383"/>
      <c r="W1231" s="385"/>
      <c r="X1231" s="383"/>
      <c r="Y1231" s="386"/>
      <c r="Z1231" s="1533" t="s">
        <v>441</v>
      </c>
      <c r="AA1231" s="1535" t="s">
        <v>533</v>
      </c>
      <c r="AB1231" s="1221" t="s">
        <v>495</v>
      </c>
      <c r="AC1231" s="387"/>
      <c r="AD1231" s="388" t="s">
        <v>2</v>
      </c>
      <c r="AE1231" s="1522">
        <f>AC1231*8160</f>
        <v>0</v>
      </c>
      <c r="AF1231" s="354"/>
      <c r="AG1231" s="153"/>
      <c r="AH1231" s="153"/>
      <c r="AI1231" s="153"/>
      <c r="AJ1231" s="153"/>
      <c r="AK1231" s="153"/>
      <c r="AL1231" s="153"/>
      <c r="AM1231" s="153"/>
      <c r="AN1231" s="153"/>
      <c r="AO1231" s="153"/>
      <c r="AP1231" s="153"/>
      <c r="AQ1231" s="153"/>
      <c r="AR1231" s="153"/>
      <c r="AS1231" s="121"/>
      <c r="AT1231" s="121"/>
      <c r="AU1231" s="121"/>
      <c r="AV1231" s="121"/>
      <c r="AW1231" s="121"/>
      <c r="AX1231" s="121"/>
      <c r="AY1231" s="121"/>
      <c r="AZ1231" s="121"/>
      <c r="BA1231" s="121"/>
      <c r="BB1231" s="121"/>
      <c r="BC1231" s="121"/>
      <c r="BD1231" s="121"/>
      <c r="BE1231" s="121"/>
      <c r="BF1231" s="121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21"/>
      <c r="BS1231" s="121"/>
      <c r="BT1231" s="121"/>
      <c r="BU1231" s="121"/>
      <c r="BV1231" s="121"/>
      <c r="BW1231" s="121"/>
      <c r="BX1231" s="121"/>
      <c r="BY1231" s="121"/>
      <c r="BZ1231" s="121"/>
      <c r="CA1231" s="121"/>
      <c r="CB1231" s="121"/>
      <c r="CC1231" s="121"/>
      <c r="CD1231" s="121"/>
      <c r="CE1231" s="121"/>
      <c r="CF1231" s="121"/>
      <c r="CG1231" s="121"/>
      <c r="CH1231" s="121"/>
    </row>
    <row r="1232" spans="1:86" s="122" customFormat="1" ht="21.75" hidden="1" customHeight="1" thickBot="1" x14ac:dyDescent="0.25">
      <c r="A1232" s="1648"/>
      <c r="B1232" s="1516"/>
      <c r="C1232" s="1518"/>
      <c r="D1232" s="1540"/>
      <c r="E1232" s="1538"/>
      <c r="F1232" s="1540"/>
      <c r="G1232" s="1538"/>
      <c r="H1232" s="389"/>
      <c r="I1232" s="389"/>
      <c r="J1232" s="389"/>
      <c r="K1232" s="389"/>
      <c r="L1232" s="389"/>
      <c r="M1232" s="389"/>
      <c r="N1232" s="389"/>
      <c r="O1232" s="389"/>
      <c r="P1232" s="389"/>
      <c r="Q1232" s="389"/>
      <c r="R1232" s="389"/>
      <c r="S1232" s="390"/>
      <c r="T1232" s="389"/>
      <c r="U1232" s="389"/>
      <c r="V1232" s="389"/>
      <c r="W1232" s="391"/>
      <c r="X1232" s="392"/>
      <c r="Y1232" s="393"/>
      <c r="Z1232" s="1534"/>
      <c r="AA1232" s="1536"/>
      <c r="AB1232" s="1218"/>
      <c r="AC1232" s="394"/>
      <c r="AD1232" s="394" t="s">
        <v>3</v>
      </c>
      <c r="AE1232" s="1523"/>
      <c r="AF1232" s="382"/>
      <c r="AG1232" s="153"/>
      <c r="AH1232" s="153"/>
      <c r="AI1232" s="153"/>
      <c r="AJ1232" s="153"/>
      <c r="AK1232" s="153"/>
      <c r="AL1232" s="153"/>
      <c r="AM1232" s="153"/>
      <c r="AN1232" s="153"/>
      <c r="AO1232" s="153"/>
      <c r="AP1232" s="153"/>
      <c r="AQ1232" s="153"/>
      <c r="AR1232" s="153"/>
      <c r="AS1232" s="121"/>
      <c r="AT1232" s="121"/>
      <c r="AU1232" s="121"/>
      <c r="AV1232" s="121"/>
      <c r="AW1232" s="121"/>
      <c r="AX1232" s="121"/>
      <c r="AY1232" s="121"/>
      <c r="AZ1232" s="121"/>
      <c r="BA1232" s="121"/>
      <c r="BB1232" s="121"/>
      <c r="BC1232" s="121"/>
      <c r="BD1232" s="121"/>
      <c r="BE1232" s="121"/>
      <c r="BF1232" s="121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21"/>
      <c r="BS1232" s="121"/>
      <c r="BT1232" s="121"/>
      <c r="BU1232" s="121"/>
      <c r="BV1232" s="121"/>
      <c r="BW1232" s="121"/>
      <c r="BX1232" s="121"/>
      <c r="BY1232" s="121"/>
      <c r="BZ1232" s="121"/>
      <c r="CA1232" s="121"/>
      <c r="CB1232" s="121"/>
      <c r="CC1232" s="121"/>
      <c r="CD1232" s="121"/>
      <c r="CE1232" s="121"/>
      <c r="CF1232" s="121"/>
      <c r="CG1232" s="121"/>
      <c r="CH1232" s="121"/>
    </row>
    <row r="1233" spans="1:86" s="122" customFormat="1" ht="21.75" hidden="1" customHeight="1" x14ac:dyDescent="0.2">
      <c r="A1233" s="1647">
        <v>3</v>
      </c>
      <c r="B1233" s="1515">
        <v>3399211</v>
      </c>
      <c r="C1233" s="1517" t="s">
        <v>567</v>
      </c>
      <c r="D1233" s="1539">
        <v>2</v>
      </c>
      <c r="E1233" s="1537">
        <v>9000</v>
      </c>
      <c r="F1233" s="1539">
        <v>1.6</v>
      </c>
      <c r="G1233" s="1537">
        <v>7200</v>
      </c>
      <c r="H1233" s="383"/>
      <c r="I1233" s="383"/>
      <c r="J1233" s="383"/>
      <c r="K1233" s="383"/>
      <c r="L1233" s="383"/>
      <c r="M1233" s="383"/>
      <c r="N1233" s="383"/>
      <c r="O1233" s="383"/>
      <c r="P1233" s="383"/>
      <c r="Q1233" s="383"/>
      <c r="R1233" s="383"/>
      <c r="S1233" s="384"/>
      <c r="T1233" s="383"/>
      <c r="U1233" s="383"/>
      <c r="V1233" s="383"/>
      <c r="W1233" s="385"/>
      <c r="X1233" s="383"/>
      <c r="Y1233" s="386"/>
      <c r="Z1233" s="1533" t="s">
        <v>441</v>
      </c>
      <c r="AA1233" s="1535" t="s">
        <v>402</v>
      </c>
      <c r="AB1233" s="1221" t="s">
        <v>495</v>
      </c>
      <c r="AC1233" s="387"/>
      <c r="AD1233" s="388" t="s">
        <v>2</v>
      </c>
      <c r="AE1233" s="1522">
        <f>AC1233*8160</f>
        <v>0</v>
      </c>
      <c r="AF1233" s="354"/>
      <c r="AG1233" s="153"/>
      <c r="AH1233" s="153"/>
      <c r="AI1233" s="153"/>
      <c r="AJ1233" s="153"/>
      <c r="AK1233" s="153"/>
      <c r="AL1233" s="153"/>
      <c r="AM1233" s="153"/>
      <c r="AN1233" s="153"/>
      <c r="AO1233" s="153"/>
      <c r="AP1233" s="153"/>
      <c r="AQ1233" s="153"/>
      <c r="AR1233" s="153"/>
      <c r="AS1233" s="121"/>
      <c r="AT1233" s="121"/>
      <c r="AU1233" s="121"/>
      <c r="AV1233" s="121"/>
      <c r="AW1233" s="121"/>
      <c r="AX1233" s="121"/>
      <c r="AY1233" s="121"/>
      <c r="AZ1233" s="121"/>
      <c r="BA1233" s="121"/>
      <c r="BB1233" s="121"/>
      <c r="BC1233" s="121"/>
      <c r="BD1233" s="121"/>
      <c r="BE1233" s="121"/>
      <c r="BF1233" s="121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21"/>
      <c r="BS1233" s="121"/>
      <c r="BT1233" s="121"/>
      <c r="BU1233" s="121"/>
      <c r="BV1233" s="121"/>
      <c r="BW1233" s="121"/>
      <c r="BX1233" s="121"/>
      <c r="BY1233" s="121"/>
      <c r="BZ1233" s="121"/>
      <c r="CA1233" s="121"/>
      <c r="CB1233" s="121"/>
      <c r="CC1233" s="121"/>
      <c r="CD1233" s="121"/>
      <c r="CE1233" s="121"/>
      <c r="CF1233" s="121"/>
      <c r="CG1233" s="121"/>
      <c r="CH1233" s="121"/>
    </row>
    <row r="1234" spans="1:86" s="122" customFormat="1" ht="21.75" hidden="1" customHeight="1" thickBot="1" x14ac:dyDescent="0.25">
      <c r="A1234" s="1648"/>
      <c r="B1234" s="1516"/>
      <c r="C1234" s="1518"/>
      <c r="D1234" s="1540"/>
      <c r="E1234" s="1538"/>
      <c r="F1234" s="1540"/>
      <c r="G1234" s="1538"/>
      <c r="H1234" s="389"/>
      <c r="I1234" s="389"/>
      <c r="J1234" s="389"/>
      <c r="K1234" s="389"/>
      <c r="L1234" s="389"/>
      <c r="M1234" s="389"/>
      <c r="N1234" s="389"/>
      <c r="O1234" s="389"/>
      <c r="P1234" s="389"/>
      <c r="Q1234" s="389"/>
      <c r="R1234" s="389"/>
      <c r="S1234" s="390"/>
      <c r="T1234" s="389"/>
      <c r="U1234" s="389"/>
      <c r="V1234" s="389"/>
      <c r="W1234" s="391"/>
      <c r="X1234" s="392"/>
      <c r="Y1234" s="393"/>
      <c r="Z1234" s="1693"/>
      <c r="AA1234" s="1655"/>
      <c r="AB1234" s="1369"/>
      <c r="AC1234" s="718"/>
      <c r="AD1234" s="718" t="s">
        <v>3</v>
      </c>
      <c r="AE1234" s="1519"/>
      <c r="AF1234" s="729"/>
      <c r="AG1234" s="730"/>
      <c r="AH1234" s="730"/>
      <c r="AI1234" s="730"/>
      <c r="AJ1234" s="730"/>
      <c r="AK1234" s="730"/>
      <c r="AL1234" s="153"/>
      <c r="AM1234" s="153"/>
      <c r="AN1234" s="153"/>
      <c r="AO1234" s="153"/>
      <c r="AP1234" s="153"/>
      <c r="AQ1234" s="153"/>
      <c r="AR1234" s="153"/>
      <c r="AS1234" s="121"/>
      <c r="AT1234" s="121"/>
      <c r="AU1234" s="121"/>
      <c r="AV1234" s="121"/>
      <c r="AW1234" s="121"/>
      <c r="AX1234" s="121"/>
      <c r="AY1234" s="121"/>
      <c r="AZ1234" s="121"/>
      <c r="BA1234" s="121"/>
      <c r="BB1234" s="121"/>
      <c r="BC1234" s="121"/>
      <c r="BD1234" s="121"/>
      <c r="BE1234" s="121"/>
      <c r="BF1234" s="121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21"/>
      <c r="BS1234" s="121"/>
      <c r="BT1234" s="121"/>
      <c r="BU1234" s="121"/>
      <c r="BV1234" s="121"/>
      <c r="BW1234" s="121"/>
      <c r="BX1234" s="121"/>
      <c r="BY1234" s="121"/>
      <c r="BZ1234" s="121"/>
      <c r="CA1234" s="121"/>
      <c r="CB1234" s="121"/>
      <c r="CC1234" s="121"/>
      <c r="CD1234" s="121"/>
      <c r="CE1234" s="121"/>
      <c r="CF1234" s="121"/>
      <c r="CG1234" s="121"/>
      <c r="CH1234" s="121"/>
    </row>
    <row r="1235" spans="1:86" s="122" customFormat="1" ht="21.75" customHeight="1" x14ac:dyDescent="0.2">
      <c r="A1235" s="1647">
        <v>2</v>
      </c>
      <c r="B1235" s="1515">
        <v>3399241</v>
      </c>
      <c r="C1235" s="1517" t="s">
        <v>251</v>
      </c>
      <c r="D1235" s="1539">
        <v>3</v>
      </c>
      <c r="E1235" s="1537">
        <v>15000</v>
      </c>
      <c r="F1235" s="1539">
        <v>3</v>
      </c>
      <c r="G1235" s="1537">
        <v>15000</v>
      </c>
      <c r="H1235" s="383"/>
      <c r="I1235" s="383"/>
      <c r="J1235" s="383"/>
      <c r="K1235" s="383"/>
      <c r="L1235" s="383"/>
      <c r="M1235" s="383"/>
      <c r="N1235" s="383"/>
      <c r="O1235" s="383"/>
      <c r="P1235" s="383"/>
      <c r="Q1235" s="383"/>
      <c r="R1235" s="383"/>
      <c r="S1235" s="384"/>
      <c r="T1235" s="383"/>
      <c r="U1235" s="383"/>
      <c r="V1235" s="383"/>
      <c r="W1235" s="385"/>
      <c r="X1235" s="383"/>
      <c r="Y1235" s="386"/>
      <c r="Z1235" s="721"/>
      <c r="AA1235" s="721"/>
      <c r="AB1235" s="302"/>
      <c r="AC1235" s="722"/>
      <c r="AD1235" s="1181"/>
      <c r="AE1235" s="723"/>
      <c r="AF1235" s="721"/>
      <c r="AG1235" s="721"/>
      <c r="AH1235" s="302"/>
      <c r="AI1235" s="722"/>
      <c r="AJ1235" s="1181"/>
      <c r="AK1235" s="723"/>
      <c r="AL1235" s="1662" t="s">
        <v>441</v>
      </c>
      <c r="AM1235" s="1535" t="s">
        <v>1536</v>
      </c>
      <c r="AN1235" s="1221" t="s">
        <v>495</v>
      </c>
      <c r="AO1235" s="387">
        <v>2.76</v>
      </c>
      <c r="AP1235" s="388" t="s">
        <v>2</v>
      </c>
      <c r="AQ1235" s="1522">
        <v>13500</v>
      </c>
      <c r="AR1235" s="153"/>
      <c r="AS1235" s="121"/>
      <c r="AT1235" s="121"/>
      <c r="AU1235" s="121"/>
      <c r="AV1235" s="121"/>
      <c r="AW1235" s="121"/>
      <c r="AX1235" s="121"/>
      <c r="AY1235" s="121"/>
      <c r="AZ1235" s="121"/>
      <c r="BA1235" s="121"/>
      <c r="BB1235" s="121"/>
      <c r="BC1235" s="121"/>
      <c r="BD1235" s="121"/>
      <c r="BE1235" s="121"/>
      <c r="BF1235" s="121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21"/>
      <c r="BS1235" s="121"/>
      <c r="BT1235" s="121"/>
      <c r="BU1235" s="121"/>
      <c r="BV1235" s="121"/>
      <c r="BW1235" s="121"/>
      <c r="BX1235" s="121"/>
      <c r="BY1235" s="121"/>
      <c r="BZ1235" s="121"/>
      <c r="CA1235" s="121"/>
      <c r="CB1235" s="121"/>
      <c r="CC1235" s="121"/>
      <c r="CD1235" s="121"/>
      <c r="CE1235" s="121"/>
      <c r="CF1235" s="121"/>
      <c r="CG1235" s="121"/>
      <c r="CH1235" s="121"/>
    </row>
    <row r="1236" spans="1:86" s="122" customFormat="1" ht="21.75" customHeight="1" thickBot="1" x14ac:dyDescent="0.25">
      <c r="A1236" s="1648"/>
      <c r="B1236" s="1516"/>
      <c r="C1236" s="1518"/>
      <c r="D1236" s="1540"/>
      <c r="E1236" s="1538"/>
      <c r="F1236" s="1540"/>
      <c r="G1236" s="1538"/>
      <c r="H1236" s="389"/>
      <c r="I1236" s="389"/>
      <c r="J1236" s="389"/>
      <c r="K1236" s="389"/>
      <c r="L1236" s="389"/>
      <c r="M1236" s="389"/>
      <c r="N1236" s="389"/>
      <c r="O1236" s="389"/>
      <c r="P1236" s="389"/>
      <c r="Q1236" s="389"/>
      <c r="R1236" s="389"/>
      <c r="S1236" s="390"/>
      <c r="T1236" s="389"/>
      <c r="U1236" s="389"/>
      <c r="V1236" s="389"/>
      <c r="W1236" s="391"/>
      <c r="X1236" s="392"/>
      <c r="Y1236" s="393"/>
      <c r="Z1236" s="721"/>
      <c r="AA1236" s="721"/>
      <c r="AB1236" s="302"/>
      <c r="AC1236" s="1181"/>
      <c r="AD1236" s="1181"/>
      <c r="AE1236" s="723"/>
      <c r="AF1236" s="721"/>
      <c r="AG1236" s="721"/>
      <c r="AH1236" s="302"/>
      <c r="AI1236" s="1181"/>
      <c r="AJ1236" s="1181"/>
      <c r="AK1236" s="723"/>
      <c r="AL1236" s="1663"/>
      <c r="AM1236" s="1536"/>
      <c r="AN1236" s="1218"/>
      <c r="AO1236" s="394">
        <f>G1235/F1235*AO1235</f>
        <v>13799.999999999998</v>
      </c>
      <c r="AP1236" s="394" t="s">
        <v>3</v>
      </c>
      <c r="AQ1236" s="1523"/>
      <c r="AR1236" s="153"/>
      <c r="AS1236" s="121"/>
      <c r="AT1236" s="121"/>
      <c r="AU1236" s="121"/>
      <c r="AV1236" s="121"/>
      <c r="AW1236" s="121"/>
      <c r="AX1236" s="121"/>
      <c r="AY1236" s="121"/>
      <c r="AZ1236" s="121"/>
      <c r="BA1236" s="121"/>
      <c r="BB1236" s="121"/>
      <c r="BC1236" s="121"/>
      <c r="BD1236" s="121"/>
      <c r="BE1236" s="121"/>
      <c r="BF1236" s="121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21"/>
      <c r="BS1236" s="121"/>
      <c r="BT1236" s="121"/>
      <c r="BU1236" s="121"/>
      <c r="BV1236" s="121"/>
      <c r="BW1236" s="121"/>
      <c r="BX1236" s="121"/>
      <c r="BY1236" s="121"/>
      <c r="BZ1236" s="121"/>
      <c r="CA1236" s="121"/>
      <c r="CB1236" s="121"/>
      <c r="CC1236" s="121"/>
      <c r="CD1236" s="121"/>
      <c r="CE1236" s="121"/>
      <c r="CF1236" s="121"/>
      <c r="CG1236" s="121"/>
      <c r="CH1236" s="121"/>
    </row>
    <row r="1237" spans="1:86" s="122" customFormat="1" ht="21.75" hidden="1" customHeight="1" x14ac:dyDescent="0.2">
      <c r="A1237" s="1647">
        <v>5</v>
      </c>
      <c r="B1237" s="1515">
        <v>3399231</v>
      </c>
      <c r="C1237" s="1517" t="s">
        <v>568</v>
      </c>
      <c r="D1237" s="1539">
        <v>2.218</v>
      </c>
      <c r="E1237" s="1537">
        <v>7800</v>
      </c>
      <c r="F1237" s="1539">
        <v>2.218</v>
      </c>
      <c r="G1237" s="1537">
        <v>7800</v>
      </c>
      <c r="H1237" s="383"/>
      <c r="I1237" s="383"/>
      <c r="J1237" s="383"/>
      <c r="K1237" s="383"/>
      <c r="L1237" s="383"/>
      <c r="M1237" s="383"/>
      <c r="N1237" s="383"/>
      <c r="O1237" s="383"/>
      <c r="P1237" s="383"/>
      <c r="Q1237" s="383"/>
      <c r="R1237" s="383"/>
      <c r="S1237" s="384"/>
      <c r="T1237" s="383"/>
      <c r="U1237" s="383"/>
      <c r="V1237" s="383"/>
      <c r="W1237" s="385"/>
      <c r="X1237" s="383"/>
      <c r="Y1237" s="386"/>
      <c r="Z1237" s="1693" t="s">
        <v>441</v>
      </c>
      <c r="AA1237" s="1655" t="s">
        <v>554</v>
      </c>
      <c r="AB1237" s="1369" t="s">
        <v>495</v>
      </c>
      <c r="AC1237" s="731"/>
      <c r="AD1237" s="2566" t="s">
        <v>2</v>
      </c>
      <c r="AE1237" s="1519">
        <f>AC1237*8160</f>
        <v>0</v>
      </c>
      <c r="AF1237" s="354"/>
      <c r="AG1237" s="153"/>
      <c r="AH1237" s="153"/>
      <c r="AI1237" s="153"/>
      <c r="AJ1237" s="153"/>
      <c r="AK1237" s="153"/>
      <c r="AL1237" s="153"/>
      <c r="AM1237" s="153"/>
      <c r="AN1237" s="153"/>
      <c r="AO1237" s="153"/>
      <c r="AP1237" s="153"/>
      <c r="AQ1237" s="153"/>
      <c r="AR1237" s="153"/>
      <c r="AS1237" s="121"/>
      <c r="AT1237" s="121"/>
      <c r="AU1237" s="121"/>
      <c r="AV1237" s="121"/>
      <c r="AW1237" s="121"/>
      <c r="AX1237" s="121"/>
      <c r="AY1237" s="121"/>
      <c r="AZ1237" s="121"/>
      <c r="BA1237" s="121"/>
      <c r="BB1237" s="121"/>
      <c r="BC1237" s="121"/>
      <c r="BD1237" s="121"/>
      <c r="BE1237" s="121"/>
      <c r="BF1237" s="121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21"/>
      <c r="BS1237" s="121"/>
      <c r="BT1237" s="121"/>
      <c r="BU1237" s="121"/>
      <c r="BV1237" s="121"/>
      <c r="BW1237" s="121"/>
      <c r="BX1237" s="121"/>
      <c r="BY1237" s="121"/>
      <c r="BZ1237" s="121"/>
      <c r="CA1237" s="121"/>
      <c r="CB1237" s="121"/>
      <c r="CC1237" s="121"/>
      <c r="CD1237" s="121"/>
      <c r="CE1237" s="121"/>
      <c r="CF1237" s="121"/>
      <c r="CG1237" s="121"/>
      <c r="CH1237" s="121"/>
    </row>
    <row r="1238" spans="1:86" s="122" customFormat="1" ht="21.75" hidden="1" customHeight="1" thickBot="1" x14ac:dyDescent="0.25">
      <c r="A1238" s="1648"/>
      <c r="B1238" s="1516"/>
      <c r="C1238" s="1518"/>
      <c r="D1238" s="1540"/>
      <c r="E1238" s="1538"/>
      <c r="F1238" s="1540"/>
      <c r="G1238" s="1538"/>
      <c r="H1238" s="389"/>
      <c r="I1238" s="389"/>
      <c r="J1238" s="389"/>
      <c r="K1238" s="389"/>
      <c r="L1238" s="389"/>
      <c r="M1238" s="389"/>
      <c r="N1238" s="389"/>
      <c r="O1238" s="389"/>
      <c r="P1238" s="389"/>
      <c r="Q1238" s="389"/>
      <c r="R1238" s="389"/>
      <c r="S1238" s="390"/>
      <c r="T1238" s="389"/>
      <c r="U1238" s="389"/>
      <c r="V1238" s="389"/>
      <c r="W1238" s="391"/>
      <c r="X1238" s="392"/>
      <c r="Y1238" s="393"/>
      <c r="Z1238" s="1534"/>
      <c r="AA1238" s="1536"/>
      <c r="AB1238" s="1218"/>
      <c r="AC1238" s="394"/>
      <c r="AD1238" s="394" t="s">
        <v>3</v>
      </c>
      <c r="AE1238" s="1523"/>
      <c r="AF1238" s="382"/>
      <c r="AG1238" s="153"/>
      <c r="AH1238" s="153"/>
      <c r="AI1238" s="153"/>
      <c r="AJ1238" s="153"/>
      <c r="AK1238" s="153"/>
      <c r="AL1238" s="153"/>
      <c r="AM1238" s="153"/>
      <c r="AN1238" s="153"/>
      <c r="AO1238" s="153"/>
      <c r="AP1238" s="153"/>
      <c r="AQ1238" s="153"/>
      <c r="AR1238" s="153"/>
      <c r="AS1238" s="121"/>
      <c r="AT1238" s="121"/>
      <c r="AU1238" s="121"/>
      <c r="AV1238" s="121"/>
      <c r="AW1238" s="121"/>
      <c r="AX1238" s="121"/>
      <c r="AY1238" s="121"/>
      <c r="AZ1238" s="121"/>
      <c r="BA1238" s="121"/>
      <c r="BB1238" s="121"/>
      <c r="BC1238" s="121"/>
      <c r="BD1238" s="121"/>
      <c r="BE1238" s="121"/>
      <c r="BF1238" s="121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21"/>
      <c r="BS1238" s="121"/>
      <c r="BT1238" s="121"/>
      <c r="BU1238" s="121"/>
      <c r="BV1238" s="121"/>
      <c r="BW1238" s="121"/>
      <c r="BX1238" s="121"/>
      <c r="BY1238" s="121"/>
      <c r="BZ1238" s="121"/>
      <c r="CA1238" s="121"/>
      <c r="CB1238" s="121"/>
      <c r="CC1238" s="121"/>
      <c r="CD1238" s="121"/>
      <c r="CE1238" s="121"/>
      <c r="CF1238" s="121"/>
      <c r="CG1238" s="121"/>
      <c r="CH1238" s="121"/>
    </row>
    <row r="1239" spans="1:86" s="122" customFormat="1" ht="28.35" customHeight="1" x14ac:dyDescent="0.2">
      <c r="A1239" s="1647">
        <v>3</v>
      </c>
      <c r="B1239" s="1515">
        <v>3399225</v>
      </c>
      <c r="C1239" s="1517" t="s">
        <v>252</v>
      </c>
      <c r="D1239" s="1539">
        <v>1.94</v>
      </c>
      <c r="E1239" s="1537">
        <f>D1239*4500</f>
        <v>8730</v>
      </c>
      <c r="F1239" s="1539">
        <v>1.94</v>
      </c>
      <c r="G1239" s="1537">
        <f>F1239*4500</f>
        <v>8730</v>
      </c>
      <c r="H1239" s="383"/>
      <c r="I1239" s="383"/>
      <c r="J1239" s="383"/>
      <c r="K1239" s="383"/>
      <c r="L1239" s="383"/>
      <c r="M1239" s="383"/>
      <c r="N1239" s="383"/>
      <c r="O1239" s="383"/>
      <c r="P1239" s="383"/>
      <c r="Q1239" s="383"/>
      <c r="R1239" s="383"/>
      <c r="S1239" s="384"/>
      <c r="T1239" s="383"/>
      <c r="U1239" s="383"/>
      <c r="V1239" s="383"/>
      <c r="W1239" s="385"/>
      <c r="X1239" s="383"/>
      <c r="Y1239" s="386"/>
      <c r="Z1239" s="1702" t="s">
        <v>441</v>
      </c>
      <c r="AA1239" s="1674" t="s">
        <v>1550</v>
      </c>
      <c r="AB1239" s="1221" t="s">
        <v>495</v>
      </c>
      <c r="AC1239" s="387">
        <v>1.76</v>
      </c>
      <c r="AD1239" s="395" t="s">
        <v>2</v>
      </c>
      <c r="AE1239" s="1522">
        <v>10641.922479999999</v>
      </c>
      <c r="AF1239" s="354"/>
      <c r="AG1239" s="153"/>
      <c r="AH1239" s="153"/>
      <c r="AI1239" s="153"/>
      <c r="AJ1239" s="153"/>
      <c r="AK1239" s="153"/>
      <c r="AL1239" s="153"/>
      <c r="AM1239" s="153"/>
      <c r="AN1239" s="153"/>
      <c r="AO1239" s="153"/>
      <c r="AP1239" s="153"/>
      <c r="AQ1239" s="153"/>
      <c r="AR1239" s="153"/>
      <c r="AS1239" s="121"/>
      <c r="AT1239" s="121"/>
      <c r="AU1239" s="121"/>
      <c r="AV1239" s="121"/>
      <c r="AW1239" s="121"/>
      <c r="AX1239" s="121"/>
      <c r="AY1239" s="121"/>
      <c r="AZ1239" s="121"/>
      <c r="BA1239" s="121"/>
      <c r="BB1239" s="121"/>
      <c r="BC1239" s="121"/>
      <c r="BD1239" s="121"/>
      <c r="BE1239" s="121"/>
      <c r="BF1239" s="121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21"/>
      <c r="BS1239" s="121"/>
      <c r="BT1239" s="121"/>
      <c r="BU1239" s="121"/>
      <c r="BV1239" s="121"/>
      <c r="BW1239" s="121"/>
      <c r="BX1239" s="121"/>
      <c r="BY1239" s="121"/>
      <c r="BZ1239" s="121"/>
      <c r="CA1239" s="121"/>
      <c r="CB1239" s="121"/>
      <c r="CC1239" s="121"/>
      <c r="CD1239" s="121"/>
      <c r="CE1239" s="121"/>
      <c r="CF1239" s="121"/>
      <c r="CG1239" s="121"/>
      <c r="CH1239" s="121"/>
    </row>
    <row r="1240" spans="1:86" s="122" customFormat="1" ht="22.5" customHeight="1" thickBot="1" x14ac:dyDescent="0.25">
      <c r="A1240" s="1648"/>
      <c r="B1240" s="1516"/>
      <c r="C1240" s="1518"/>
      <c r="D1240" s="1540"/>
      <c r="E1240" s="1538"/>
      <c r="F1240" s="1540"/>
      <c r="G1240" s="1538"/>
      <c r="H1240" s="389"/>
      <c r="I1240" s="389"/>
      <c r="J1240" s="389"/>
      <c r="K1240" s="389"/>
      <c r="L1240" s="389"/>
      <c r="M1240" s="389"/>
      <c r="N1240" s="389"/>
      <c r="O1240" s="389"/>
      <c r="P1240" s="389"/>
      <c r="Q1240" s="389"/>
      <c r="R1240" s="389"/>
      <c r="S1240" s="390"/>
      <c r="T1240" s="389"/>
      <c r="U1240" s="389"/>
      <c r="V1240" s="389"/>
      <c r="W1240" s="391"/>
      <c r="X1240" s="392"/>
      <c r="Y1240" s="393"/>
      <c r="Z1240" s="1703"/>
      <c r="AA1240" s="1675"/>
      <c r="AB1240" s="1218"/>
      <c r="AC1240" s="720">
        <v>9000</v>
      </c>
      <c r="AD1240" s="396" t="s">
        <v>3</v>
      </c>
      <c r="AE1240" s="1523"/>
      <c r="AF1240" s="382"/>
      <c r="AG1240" s="153"/>
      <c r="AH1240" s="153"/>
      <c r="AI1240" s="153"/>
      <c r="AJ1240" s="153"/>
      <c r="AK1240" s="153"/>
      <c r="AL1240" s="153"/>
      <c r="AM1240" s="153"/>
      <c r="AN1240" s="153"/>
      <c r="AO1240" s="153"/>
      <c r="AP1240" s="153"/>
      <c r="AQ1240" s="153"/>
      <c r="AR1240" s="153"/>
      <c r="AS1240" s="121"/>
      <c r="AT1240" s="121"/>
      <c r="AU1240" s="121"/>
      <c r="AV1240" s="121"/>
      <c r="AW1240" s="121"/>
      <c r="AX1240" s="121"/>
      <c r="AY1240" s="121"/>
      <c r="AZ1240" s="121"/>
      <c r="BA1240" s="121"/>
      <c r="BB1240" s="121"/>
      <c r="BC1240" s="121"/>
      <c r="BD1240" s="121"/>
      <c r="BE1240" s="121"/>
      <c r="BF1240" s="121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21"/>
      <c r="BS1240" s="121"/>
      <c r="BT1240" s="121"/>
      <c r="BU1240" s="121"/>
      <c r="BV1240" s="121"/>
      <c r="BW1240" s="121"/>
      <c r="BX1240" s="121"/>
      <c r="BY1240" s="121"/>
      <c r="BZ1240" s="121"/>
      <c r="CA1240" s="121"/>
      <c r="CB1240" s="121"/>
      <c r="CC1240" s="121"/>
      <c r="CD1240" s="121"/>
      <c r="CE1240" s="121"/>
      <c r="CF1240" s="121"/>
      <c r="CG1240" s="121"/>
      <c r="CH1240" s="121"/>
    </row>
    <row r="1241" spans="1:86" s="122" customFormat="1" ht="21.75" hidden="1" customHeight="1" x14ac:dyDescent="0.2">
      <c r="A1241" s="1647">
        <v>7</v>
      </c>
      <c r="B1241" s="1515">
        <v>3399222</v>
      </c>
      <c r="C1241" s="1517" t="s">
        <v>569</v>
      </c>
      <c r="D1241" s="1539">
        <v>1.8</v>
      </c>
      <c r="E1241" s="1537">
        <f>D1241*4500</f>
        <v>8100</v>
      </c>
      <c r="F1241" s="1539">
        <v>1.8</v>
      </c>
      <c r="G1241" s="1537">
        <f>F1241*4500</f>
        <v>8100</v>
      </c>
      <c r="H1241" s="383"/>
      <c r="I1241" s="383"/>
      <c r="J1241" s="383"/>
      <c r="K1241" s="383"/>
      <c r="L1241" s="383"/>
      <c r="M1241" s="383"/>
      <c r="N1241" s="383"/>
      <c r="O1241" s="383"/>
      <c r="P1241" s="383"/>
      <c r="Q1241" s="383"/>
      <c r="R1241" s="383"/>
      <c r="S1241" s="384"/>
      <c r="T1241" s="383"/>
      <c r="U1241" s="383"/>
      <c r="V1241" s="383"/>
      <c r="W1241" s="385"/>
      <c r="X1241" s="383"/>
      <c r="Y1241" s="386"/>
      <c r="Z1241" s="1702" t="s">
        <v>441</v>
      </c>
      <c r="AA1241" s="1674" t="s">
        <v>683</v>
      </c>
      <c r="AB1241" s="1221" t="s">
        <v>495</v>
      </c>
      <c r="AC1241" s="387"/>
      <c r="AD1241" s="395" t="s">
        <v>2</v>
      </c>
      <c r="AE1241" s="1522">
        <f>AC1241*8160</f>
        <v>0</v>
      </c>
      <c r="AF1241" s="354"/>
      <c r="AG1241" s="153"/>
      <c r="AH1241" s="153"/>
      <c r="AI1241" s="153"/>
      <c r="AJ1241" s="153"/>
      <c r="AK1241" s="153"/>
      <c r="AL1241" s="153"/>
      <c r="AM1241" s="153"/>
      <c r="AN1241" s="153"/>
      <c r="AO1241" s="153"/>
      <c r="AP1241" s="153"/>
      <c r="AQ1241" s="153"/>
      <c r="AR1241" s="153"/>
      <c r="AS1241" s="121"/>
      <c r="AT1241" s="121"/>
      <c r="AU1241" s="121"/>
      <c r="AV1241" s="121"/>
      <c r="AW1241" s="121"/>
      <c r="AX1241" s="121"/>
      <c r="AY1241" s="121"/>
      <c r="AZ1241" s="121"/>
      <c r="BA1241" s="121"/>
      <c r="BB1241" s="121"/>
      <c r="BC1241" s="121"/>
      <c r="BD1241" s="121"/>
      <c r="BE1241" s="121"/>
      <c r="BF1241" s="121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21"/>
      <c r="BS1241" s="121"/>
      <c r="BT1241" s="121"/>
      <c r="BU1241" s="121"/>
      <c r="BV1241" s="121"/>
      <c r="BW1241" s="121"/>
      <c r="BX1241" s="121"/>
      <c r="BY1241" s="121"/>
      <c r="BZ1241" s="121"/>
      <c r="CA1241" s="121"/>
      <c r="CB1241" s="121"/>
      <c r="CC1241" s="121"/>
      <c r="CD1241" s="121"/>
      <c r="CE1241" s="121"/>
      <c r="CF1241" s="121"/>
      <c r="CG1241" s="121"/>
      <c r="CH1241" s="121"/>
    </row>
    <row r="1242" spans="1:86" s="122" customFormat="1" ht="21.75" hidden="1" customHeight="1" thickBot="1" x14ac:dyDescent="0.25">
      <c r="A1242" s="1648"/>
      <c r="B1242" s="1516"/>
      <c r="C1242" s="1518"/>
      <c r="D1242" s="1540"/>
      <c r="E1242" s="1538"/>
      <c r="F1242" s="1540"/>
      <c r="G1242" s="1538"/>
      <c r="H1242" s="389"/>
      <c r="I1242" s="389"/>
      <c r="J1242" s="389"/>
      <c r="K1242" s="389"/>
      <c r="L1242" s="389"/>
      <c r="M1242" s="389"/>
      <c r="N1242" s="389"/>
      <c r="O1242" s="389"/>
      <c r="P1242" s="389"/>
      <c r="Q1242" s="389"/>
      <c r="R1242" s="389"/>
      <c r="S1242" s="390"/>
      <c r="T1242" s="389"/>
      <c r="U1242" s="389"/>
      <c r="V1242" s="389"/>
      <c r="W1242" s="391"/>
      <c r="X1242" s="392"/>
      <c r="Y1242" s="393"/>
      <c r="Z1242" s="2567"/>
      <c r="AA1242" s="1474"/>
      <c r="AB1242" s="1369"/>
      <c r="AC1242" s="2568"/>
      <c r="AD1242" s="748" t="s">
        <v>3</v>
      </c>
      <c r="AE1242" s="1519"/>
      <c r="AF1242" s="382"/>
      <c r="AG1242" s="153"/>
      <c r="AH1242" s="153"/>
      <c r="AI1242" s="153"/>
      <c r="AJ1242" s="153"/>
      <c r="AK1242" s="153"/>
      <c r="AL1242" s="153"/>
      <c r="AM1242" s="153"/>
      <c r="AN1242" s="153"/>
      <c r="AO1242" s="153"/>
      <c r="AP1242" s="153"/>
      <c r="AQ1242" s="153"/>
      <c r="AR1242" s="153"/>
      <c r="AS1242" s="121"/>
      <c r="AT1242" s="121"/>
      <c r="AU1242" s="121"/>
      <c r="AV1242" s="121"/>
      <c r="AW1242" s="121"/>
      <c r="AX1242" s="121"/>
      <c r="AY1242" s="121"/>
      <c r="AZ1242" s="121"/>
      <c r="BA1242" s="121"/>
      <c r="BB1242" s="121"/>
      <c r="BC1242" s="121"/>
      <c r="BD1242" s="121"/>
      <c r="BE1242" s="121"/>
      <c r="BF1242" s="121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21"/>
      <c r="BS1242" s="121"/>
      <c r="BT1242" s="121"/>
      <c r="BU1242" s="121"/>
      <c r="BV1242" s="121"/>
      <c r="BW1242" s="121"/>
      <c r="BX1242" s="121"/>
      <c r="BY1242" s="121"/>
      <c r="BZ1242" s="121"/>
      <c r="CA1242" s="121"/>
      <c r="CB1242" s="121"/>
      <c r="CC1242" s="121"/>
      <c r="CD1242" s="121"/>
      <c r="CE1242" s="121"/>
      <c r="CF1242" s="121"/>
      <c r="CG1242" s="121"/>
      <c r="CH1242" s="121"/>
    </row>
    <row r="1243" spans="1:86" s="122" customFormat="1" ht="21.75" hidden="1" customHeight="1" x14ac:dyDescent="0.2">
      <c r="A1243" s="1647">
        <v>2</v>
      </c>
      <c r="B1243" s="1515">
        <v>3399214</v>
      </c>
      <c r="C1243" s="1517" t="s">
        <v>570</v>
      </c>
      <c r="D1243" s="1539">
        <v>5</v>
      </c>
      <c r="E1243" s="1537">
        <v>22500</v>
      </c>
      <c r="F1243" s="1539">
        <v>5</v>
      </c>
      <c r="G1243" s="1537">
        <v>22500</v>
      </c>
      <c r="H1243" s="383"/>
      <c r="I1243" s="383"/>
      <c r="J1243" s="383"/>
      <c r="K1243" s="383"/>
      <c r="L1243" s="383"/>
      <c r="M1243" s="383"/>
      <c r="N1243" s="383"/>
      <c r="O1243" s="383"/>
      <c r="P1243" s="383"/>
      <c r="Q1243" s="383"/>
      <c r="R1243" s="383"/>
      <c r="S1243" s="384"/>
      <c r="T1243" s="383"/>
      <c r="U1243" s="383"/>
      <c r="V1243" s="383"/>
      <c r="W1243" s="385"/>
      <c r="X1243" s="383"/>
      <c r="Y1243" s="386"/>
      <c r="Z1243" s="726"/>
      <c r="AA1243" s="726"/>
      <c r="AB1243" s="302"/>
      <c r="AC1243" s="722"/>
      <c r="AD1243" s="727"/>
      <c r="AE1243" s="723"/>
      <c r="AF1243" s="726"/>
      <c r="AG1243" s="726"/>
      <c r="AH1243" s="302"/>
      <c r="AI1243" s="722"/>
      <c r="AJ1243" s="727"/>
      <c r="AK1243" s="723"/>
      <c r="AL1243" s="1666" t="s">
        <v>441</v>
      </c>
      <c r="AM1243" s="1668" t="s">
        <v>475</v>
      </c>
      <c r="AN1243" s="1332" t="s">
        <v>495</v>
      </c>
      <c r="AO1243" s="724"/>
      <c r="AP1243" s="725" t="s">
        <v>2</v>
      </c>
      <c r="AQ1243" s="1513">
        <f>AO1243*8160</f>
        <v>0</v>
      </c>
      <c r="AR1243" s="153"/>
      <c r="AS1243" s="121"/>
      <c r="AT1243" s="121"/>
      <c r="AU1243" s="121"/>
      <c r="AV1243" s="121"/>
      <c r="AW1243" s="121"/>
      <c r="AX1243" s="121"/>
      <c r="AY1243" s="121"/>
      <c r="AZ1243" s="121"/>
      <c r="BA1243" s="121"/>
      <c r="BB1243" s="121"/>
      <c r="BC1243" s="121"/>
      <c r="BD1243" s="121"/>
      <c r="BE1243" s="121"/>
      <c r="BF1243" s="121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21"/>
      <c r="BS1243" s="121"/>
      <c r="BT1243" s="121"/>
      <c r="BU1243" s="121"/>
      <c r="BV1243" s="121"/>
      <c r="BW1243" s="121"/>
      <c r="BX1243" s="121"/>
      <c r="BY1243" s="121"/>
      <c r="BZ1243" s="121"/>
      <c r="CA1243" s="121"/>
      <c r="CB1243" s="121"/>
      <c r="CC1243" s="121"/>
      <c r="CD1243" s="121"/>
      <c r="CE1243" s="121"/>
      <c r="CF1243" s="121"/>
      <c r="CG1243" s="121"/>
      <c r="CH1243" s="121"/>
    </row>
    <row r="1244" spans="1:86" s="122" customFormat="1" ht="21.75" hidden="1" customHeight="1" thickBot="1" x14ac:dyDescent="0.25">
      <c r="A1244" s="1648"/>
      <c r="B1244" s="1516"/>
      <c r="C1244" s="1518"/>
      <c r="D1244" s="1540"/>
      <c r="E1244" s="1538"/>
      <c r="F1244" s="1540"/>
      <c r="G1244" s="1538"/>
      <c r="H1244" s="389"/>
      <c r="I1244" s="389"/>
      <c r="J1244" s="389"/>
      <c r="K1244" s="389"/>
      <c r="L1244" s="389"/>
      <c r="M1244" s="389"/>
      <c r="N1244" s="389"/>
      <c r="O1244" s="389"/>
      <c r="P1244" s="389"/>
      <c r="Q1244" s="389"/>
      <c r="R1244" s="389"/>
      <c r="S1244" s="390"/>
      <c r="T1244" s="389"/>
      <c r="U1244" s="389"/>
      <c r="V1244" s="389"/>
      <c r="W1244" s="391"/>
      <c r="X1244" s="392"/>
      <c r="Y1244" s="393"/>
      <c r="Z1244" s="726"/>
      <c r="AA1244" s="726"/>
      <c r="AB1244" s="302"/>
      <c r="AC1244" s="728"/>
      <c r="AD1244" s="727"/>
      <c r="AE1244" s="723"/>
      <c r="AF1244" s="726"/>
      <c r="AG1244" s="726"/>
      <c r="AH1244" s="302"/>
      <c r="AI1244" s="728"/>
      <c r="AJ1244" s="727"/>
      <c r="AK1244" s="723"/>
      <c r="AL1244" s="1667"/>
      <c r="AM1244" s="1669"/>
      <c r="AN1244" s="1218"/>
      <c r="AO1244" s="720"/>
      <c r="AP1244" s="396" t="s">
        <v>3</v>
      </c>
      <c r="AQ1244" s="1514"/>
      <c r="AR1244" s="153"/>
      <c r="AS1244" s="121"/>
      <c r="AT1244" s="121"/>
      <c r="AU1244" s="121"/>
      <c r="AV1244" s="121"/>
      <c r="AW1244" s="121"/>
      <c r="AX1244" s="121"/>
      <c r="AY1244" s="121"/>
      <c r="AZ1244" s="121"/>
      <c r="BA1244" s="121"/>
      <c r="BB1244" s="121"/>
      <c r="BC1244" s="121"/>
      <c r="BD1244" s="121"/>
      <c r="BE1244" s="121"/>
      <c r="BF1244" s="121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21"/>
      <c r="BS1244" s="121"/>
      <c r="BT1244" s="121"/>
      <c r="BU1244" s="121"/>
      <c r="BV1244" s="121"/>
      <c r="BW1244" s="121"/>
      <c r="BX1244" s="121"/>
      <c r="BY1244" s="121"/>
      <c r="BZ1244" s="121"/>
      <c r="CA1244" s="121"/>
      <c r="CB1244" s="121"/>
      <c r="CC1244" s="121"/>
      <c r="CD1244" s="121"/>
      <c r="CE1244" s="121"/>
      <c r="CF1244" s="121"/>
      <c r="CG1244" s="121"/>
      <c r="CH1244" s="121"/>
    </row>
    <row r="1245" spans="1:86" s="122" customFormat="1" ht="21.75" hidden="1" customHeight="1" x14ac:dyDescent="0.2">
      <c r="A1245" s="1647">
        <v>3</v>
      </c>
      <c r="B1245" s="1515">
        <v>3399227</v>
      </c>
      <c r="C1245" s="1517" t="s">
        <v>571</v>
      </c>
      <c r="D1245" s="1539">
        <v>0.5</v>
      </c>
      <c r="E1245" s="1537">
        <v>2250</v>
      </c>
      <c r="F1245" s="1539">
        <v>0.5</v>
      </c>
      <c r="G1245" s="1537">
        <v>2250</v>
      </c>
      <c r="H1245" s="383"/>
      <c r="I1245" s="383"/>
      <c r="J1245" s="383"/>
      <c r="K1245" s="383"/>
      <c r="L1245" s="383"/>
      <c r="M1245" s="383"/>
      <c r="N1245" s="383"/>
      <c r="O1245" s="383"/>
      <c r="P1245" s="383"/>
      <c r="Q1245" s="383"/>
      <c r="R1245" s="383"/>
      <c r="S1245" s="384"/>
      <c r="T1245" s="383"/>
      <c r="U1245" s="383"/>
      <c r="V1245" s="383"/>
      <c r="W1245" s="385"/>
      <c r="X1245" s="383"/>
      <c r="Y1245" s="386"/>
      <c r="Z1245" s="630"/>
      <c r="AA1245" s="630"/>
      <c r="AB1245" s="341"/>
      <c r="AC1245" s="807"/>
      <c r="AD1245" s="632"/>
      <c r="AE1245" s="808"/>
      <c r="AF1245" s="726"/>
      <c r="AG1245" s="726"/>
      <c r="AH1245" s="302"/>
      <c r="AI1245" s="722"/>
      <c r="AJ1245" s="727"/>
      <c r="AK1245" s="723"/>
      <c r="AL1245" s="1670" t="s">
        <v>441</v>
      </c>
      <c r="AM1245" s="1474" t="s">
        <v>617</v>
      </c>
      <c r="AN1245" s="1369" t="s">
        <v>495</v>
      </c>
      <c r="AO1245" s="731"/>
      <c r="AP1245" s="1182" t="s">
        <v>2</v>
      </c>
      <c r="AQ1245" s="1519">
        <f>AO1245*8500</f>
        <v>0</v>
      </c>
      <c r="AR1245" s="153"/>
      <c r="AS1245" s="121"/>
      <c r="AT1245" s="121"/>
      <c r="AU1245" s="121"/>
      <c r="AV1245" s="121"/>
      <c r="AW1245" s="121"/>
      <c r="AX1245" s="121"/>
      <c r="AY1245" s="121"/>
      <c r="AZ1245" s="121"/>
      <c r="BA1245" s="121"/>
      <c r="BB1245" s="121"/>
      <c r="BC1245" s="121"/>
      <c r="BD1245" s="121"/>
      <c r="BE1245" s="121"/>
      <c r="BF1245" s="121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21"/>
      <c r="BS1245" s="121"/>
      <c r="BT1245" s="121"/>
      <c r="BU1245" s="121"/>
      <c r="BV1245" s="121"/>
      <c r="BW1245" s="121"/>
      <c r="BX1245" s="121"/>
      <c r="BY1245" s="121"/>
      <c r="BZ1245" s="121"/>
      <c r="CA1245" s="121"/>
      <c r="CB1245" s="121"/>
      <c r="CC1245" s="121"/>
      <c r="CD1245" s="121"/>
      <c r="CE1245" s="121"/>
      <c r="CF1245" s="121"/>
      <c r="CG1245" s="121"/>
      <c r="CH1245" s="121"/>
    </row>
    <row r="1246" spans="1:86" s="122" customFormat="1" ht="21.75" hidden="1" customHeight="1" thickBot="1" x14ac:dyDescent="0.25">
      <c r="A1246" s="1648"/>
      <c r="B1246" s="1516"/>
      <c r="C1246" s="1518"/>
      <c r="D1246" s="1540"/>
      <c r="E1246" s="1538"/>
      <c r="F1246" s="1540"/>
      <c r="G1246" s="1538"/>
      <c r="H1246" s="389"/>
      <c r="I1246" s="389"/>
      <c r="J1246" s="389"/>
      <c r="K1246" s="389"/>
      <c r="L1246" s="389"/>
      <c r="M1246" s="389"/>
      <c r="N1246" s="389"/>
      <c r="O1246" s="389"/>
      <c r="P1246" s="389"/>
      <c r="Q1246" s="389"/>
      <c r="R1246" s="389"/>
      <c r="S1246" s="390"/>
      <c r="T1246" s="389"/>
      <c r="U1246" s="389"/>
      <c r="V1246" s="389"/>
      <c r="W1246" s="391"/>
      <c r="X1246" s="392"/>
      <c r="Y1246" s="393"/>
      <c r="Z1246" s="637"/>
      <c r="AA1246" s="637"/>
      <c r="AB1246" s="634"/>
      <c r="AC1246" s="2569"/>
      <c r="AD1246" s="638"/>
      <c r="AE1246" s="809"/>
      <c r="AF1246" s="726"/>
      <c r="AG1246" s="726"/>
      <c r="AH1246" s="302"/>
      <c r="AI1246" s="732"/>
      <c r="AJ1246" s="727"/>
      <c r="AK1246" s="723"/>
      <c r="AL1246" s="1670"/>
      <c r="AM1246" s="1474"/>
      <c r="AN1246" s="1369"/>
      <c r="AO1246" s="717"/>
      <c r="AP1246" s="748" t="s">
        <v>3</v>
      </c>
      <c r="AQ1246" s="1519"/>
      <c r="AR1246" s="153"/>
      <c r="AS1246" s="121"/>
      <c r="AT1246" s="121"/>
      <c r="AU1246" s="121"/>
      <c r="AV1246" s="121"/>
      <c r="AW1246" s="121"/>
      <c r="AX1246" s="121"/>
      <c r="AY1246" s="121"/>
      <c r="AZ1246" s="121"/>
      <c r="BA1246" s="121"/>
      <c r="BB1246" s="121"/>
      <c r="BC1246" s="121"/>
      <c r="BD1246" s="121"/>
      <c r="BE1246" s="121"/>
      <c r="BF1246" s="121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21"/>
      <c r="BS1246" s="121"/>
      <c r="BT1246" s="121"/>
      <c r="BU1246" s="121"/>
      <c r="BV1246" s="121"/>
      <c r="BW1246" s="121"/>
      <c r="BX1246" s="121"/>
      <c r="BY1246" s="121"/>
      <c r="BZ1246" s="121"/>
      <c r="CA1246" s="121"/>
      <c r="CB1246" s="121"/>
      <c r="CC1246" s="121"/>
      <c r="CD1246" s="121"/>
      <c r="CE1246" s="121"/>
      <c r="CF1246" s="121"/>
      <c r="CG1246" s="121"/>
      <c r="CH1246" s="121"/>
    </row>
    <row r="1247" spans="1:86" s="122" customFormat="1" ht="21.75" customHeight="1" x14ac:dyDescent="0.2">
      <c r="A1247" s="1647">
        <v>4</v>
      </c>
      <c r="B1247" s="1515">
        <v>3399221</v>
      </c>
      <c r="C1247" s="1517" t="s">
        <v>572</v>
      </c>
      <c r="D1247" s="1539">
        <v>1.5</v>
      </c>
      <c r="E1247" s="1537">
        <v>9450</v>
      </c>
      <c r="F1247" s="1539">
        <v>1.5</v>
      </c>
      <c r="G1247" s="1537">
        <v>9450</v>
      </c>
      <c r="H1247" s="383"/>
      <c r="I1247" s="383"/>
      <c r="J1247" s="383"/>
      <c r="K1247" s="383"/>
      <c r="L1247" s="383"/>
      <c r="M1247" s="383"/>
      <c r="N1247" s="383"/>
      <c r="O1247" s="383"/>
      <c r="P1247" s="383"/>
      <c r="Q1247" s="383"/>
      <c r="R1247" s="383"/>
      <c r="S1247" s="384"/>
      <c r="T1247" s="383"/>
      <c r="U1247" s="383"/>
      <c r="V1247" s="383"/>
      <c r="W1247" s="385"/>
      <c r="X1247" s="383"/>
      <c r="Y1247" s="386"/>
      <c r="Z1247" s="631"/>
      <c r="AA1247" s="631"/>
      <c r="AB1247" s="341"/>
      <c r="AC1247" s="807"/>
      <c r="AD1247" s="636"/>
      <c r="AE1247" s="808"/>
      <c r="AF1247" s="721"/>
      <c r="AG1247" s="721"/>
      <c r="AH1247" s="302"/>
      <c r="AI1247" s="722"/>
      <c r="AJ1247" s="1181"/>
      <c r="AK1247" s="723"/>
      <c r="AL1247" s="1520" t="s">
        <v>441</v>
      </c>
      <c r="AM1247" s="1520" t="s">
        <v>1421</v>
      </c>
      <c r="AN1247" s="1215" t="s">
        <v>495</v>
      </c>
      <c r="AO1247" s="722">
        <v>1.5</v>
      </c>
      <c r="AP1247" s="1181" t="s">
        <v>2</v>
      </c>
      <c r="AQ1247" s="1521">
        <f>AO1247*12500</f>
        <v>18750</v>
      </c>
      <c r="AR1247" s="382"/>
      <c r="AS1247" s="121"/>
      <c r="AT1247" s="121"/>
      <c r="AU1247" s="121"/>
      <c r="AV1247" s="121"/>
      <c r="AW1247" s="121"/>
      <c r="AX1247" s="121"/>
      <c r="AY1247" s="121"/>
      <c r="AZ1247" s="121"/>
      <c r="BA1247" s="121"/>
      <c r="BB1247" s="121"/>
      <c r="BC1247" s="121"/>
      <c r="BD1247" s="121"/>
      <c r="BE1247" s="121"/>
      <c r="BF1247" s="121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21"/>
      <c r="BS1247" s="121"/>
      <c r="BT1247" s="121"/>
      <c r="BU1247" s="121"/>
      <c r="BV1247" s="121"/>
      <c r="BW1247" s="121"/>
      <c r="BX1247" s="121"/>
      <c r="BY1247" s="121"/>
      <c r="BZ1247" s="121"/>
      <c r="CA1247" s="121"/>
      <c r="CB1247" s="121"/>
      <c r="CC1247" s="121"/>
      <c r="CD1247" s="121"/>
      <c r="CE1247" s="121"/>
      <c r="CF1247" s="121"/>
      <c r="CG1247" s="121"/>
      <c r="CH1247" s="121"/>
    </row>
    <row r="1248" spans="1:86" s="122" customFormat="1" ht="21.75" customHeight="1" thickBot="1" x14ac:dyDescent="0.25">
      <c r="A1248" s="1648"/>
      <c r="B1248" s="1516"/>
      <c r="C1248" s="1518"/>
      <c r="D1248" s="1540"/>
      <c r="E1248" s="1538"/>
      <c r="F1248" s="1540"/>
      <c r="G1248" s="1538"/>
      <c r="H1248" s="389"/>
      <c r="I1248" s="389"/>
      <c r="J1248" s="389"/>
      <c r="K1248" s="389"/>
      <c r="L1248" s="389"/>
      <c r="M1248" s="389"/>
      <c r="N1248" s="389"/>
      <c r="O1248" s="389"/>
      <c r="P1248" s="389"/>
      <c r="Q1248" s="389"/>
      <c r="R1248" s="389"/>
      <c r="S1248" s="390"/>
      <c r="T1248" s="389"/>
      <c r="U1248" s="389"/>
      <c r="V1248" s="389"/>
      <c r="W1248" s="391"/>
      <c r="X1248" s="392"/>
      <c r="Y1248" s="393"/>
      <c r="Z1248" s="633"/>
      <c r="AA1248" s="633"/>
      <c r="AB1248" s="634"/>
      <c r="AC1248" s="635"/>
      <c r="AD1248" s="635"/>
      <c r="AE1248" s="809"/>
      <c r="AF1248" s="721"/>
      <c r="AG1248" s="721"/>
      <c r="AH1248" s="302"/>
      <c r="AI1248" s="732"/>
      <c r="AJ1248" s="1181"/>
      <c r="AK1248" s="723"/>
      <c r="AL1248" s="1520"/>
      <c r="AM1248" s="1520"/>
      <c r="AN1248" s="1215"/>
      <c r="AO1248" s="732">
        <v>9450</v>
      </c>
      <c r="AP1248" s="1181" t="s">
        <v>3</v>
      </c>
      <c r="AQ1248" s="1521"/>
      <c r="AR1248" s="382"/>
      <c r="AS1248" s="121"/>
      <c r="AT1248" s="121"/>
      <c r="AU1248" s="121"/>
      <c r="AV1248" s="121"/>
      <c r="AW1248" s="121"/>
      <c r="AX1248" s="121"/>
      <c r="AY1248" s="121"/>
      <c r="AZ1248" s="121"/>
      <c r="BA1248" s="121"/>
      <c r="BB1248" s="121"/>
      <c r="BC1248" s="121"/>
      <c r="BD1248" s="121"/>
      <c r="BE1248" s="121"/>
      <c r="BF1248" s="121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21"/>
      <c r="BS1248" s="121"/>
      <c r="BT1248" s="121"/>
      <c r="BU1248" s="121"/>
      <c r="BV1248" s="121"/>
      <c r="BW1248" s="121"/>
      <c r="BX1248" s="121"/>
      <c r="BY1248" s="121"/>
      <c r="BZ1248" s="121"/>
      <c r="CA1248" s="121"/>
      <c r="CB1248" s="121"/>
      <c r="CC1248" s="121"/>
      <c r="CD1248" s="121"/>
      <c r="CE1248" s="121"/>
      <c r="CF1248" s="121"/>
      <c r="CG1248" s="121"/>
      <c r="CH1248" s="121"/>
    </row>
    <row r="1249" spans="1:86" s="122" customFormat="1" ht="21.75" customHeight="1" x14ac:dyDescent="0.2">
      <c r="A1249" s="1646">
        <v>5</v>
      </c>
      <c r="B1249" s="1505">
        <v>3399210</v>
      </c>
      <c r="C1249" s="1562" t="s">
        <v>573</v>
      </c>
      <c r="D1249" s="1553">
        <v>4.2</v>
      </c>
      <c r="E1249" s="1552">
        <f>D1249*4500</f>
        <v>18900</v>
      </c>
      <c r="F1249" s="1553">
        <v>4.2</v>
      </c>
      <c r="G1249" s="1552">
        <f>F1249*4500</f>
        <v>18900</v>
      </c>
      <c r="H1249" s="153"/>
      <c r="I1249" s="153"/>
      <c r="J1249" s="153"/>
      <c r="K1249" s="153"/>
      <c r="L1249" s="153"/>
      <c r="M1249" s="153"/>
      <c r="N1249" s="153"/>
      <c r="O1249" s="153"/>
      <c r="P1249" s="153"/>
      <c r="Q1249" s="153"/>
      <c r="R1249" s="153"/>
      <c r="S1249" s="207"/>
      <c r="T1249" s="153"/>
      <c r="U1249" s="153"/>
      <c r="V1249" s="153"/>
      <c r="W1249" s="1018"/>
      <c r="X1249" s="153"/>
      <c r="Y1249" s="155"/>
      <c r="Z1249" s="1503" t="s">
        <v>441</v>
      </c>
      <c r="AA1249" s="1496" t="s">
        <v>684</v>
      </c>
      <c r="AB1249" s="1488" t="s">
        <v>495</v>
      </c>
      <c r="AC1249" s="261">
        <v>3.5</v>
      </c>
      <c r="AD1249" s="262" t="s">
        <v>2</v>
      </c>
      <c r="AE1249" s="2478">
        <v>29688.052790000002</v>
      </c>
      <c r="AF1249" s="65"/>
      <c r="AG1249" s="65"/>
      <c r="AH1249" s="627"/>
      <c r="AI1249" s="263"/>
      <c r="AJ1249" s="988"/>
      <c r="AK1249" s="719"/>
      <c r="AL1249" s="295"/>
      <c r="AM1249" s="153"/>
      <c r="AN1249" s="153"/>
      <c r="AO1249" s="153"/>
      <c r="AP1249" s="153"/>
      <c r="AQ1249" s="153"/>
      <c r="AR1249" s="153"/>
      <c r="AS1249" s="121"/>
      <c r="AT1249" s="121"/>
      <c r="AU1249" s="121"/>
      <c r="AV1249" s="121"/>
      <c r="AW1249" s="121"/>
      <c r="AX1249" s="121"/>
      <c r="AY1249" s="121"/>
      <c r="AZ1249" s="121"/>
      <c r="BA1249" s="121"/>
      <c r="BB1249" s="121"/>
      <c r="BC1249" s="121"/>
      <c r="BD1249" s="121"/>
      <c r="BE1249" s="121"/>
      <c r="BF1249" s="121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21"/>
      <c r="BS1249" s="121"/>
      <c r="BT1249" s="121"/>
      <c r="BU1249" s="121"/>
      <c r="BV1249" s="121"/>
      <c r="BW1249" s="121"/>
      <c r="BX1249" s="121"/>
      <c r="BY1249" s="121"/>
      <c r="BZ1249" s="121"/>
      <c r="CA1249" s="121"/>
      <c r="CB1249" s="121"/>
      <c r="CC1249" s="121"/>
      <c r="CD1249" s="121"/>
      <c r="CE1249" s="121"/>
      <c r="CF1249" s="121"/>
      <c r="CG1249" s="121"/>
      <c r="CH1249" s="121"/>
    </row>
    <row r="1250" spans="1:86" s="122" customFormat="1" ht="21.75" customHeight="1" x14ac:dyDescent="0.2">
      <c r="A1250" s="1604"/>
      <c r="B1250" s="1506"/>
      <c r="C1250" s="1563"/>
      <c r="D1250" s="1551"/>
      <c r="E1250" s="1542"/>
      <c r="F1250" s="1551"/>
      <c r="G1250" s="1542"/>
      <c r="H1250" s="153"/>
      <c r="I1250" s="153"/>
      <c r="J1250" s="153"/>
      <c r="K1250" s="153"/>
      <c r="L1250" s="153"/>
      <c r="M1250" s="153"/>
      <c r="N1250" s="153"/>
      <c r="O1250" s="153"/>
      <c r="P1250" s="153"/>
      <c r="Q1250" s="153"/>
      <c r="R1250" s="153"/>
      <c r="S1250" s="207"/>
      <c r="T1250" s="153"/>
      <c r="U1250" s="153"/>
      <c r="V1250" s="153"/>
      <c r="W1250" s="91"/>
      <c r="X1250" s="92"/>
      <c r="Y1250" s="155"/>
      <c r="Z1250" s="1504"/>
      <c r="AA1250" s="1504"/>
      <c r="AB1250" s="1489"/>
      <c r="AC1250" s="262">
        <v>15300</v>
      </c>
      <c r="AD1250" s="262" t="s">
        <v>3</v>
      </c>
      <c r="AE1250" s="2479"/>
      <c r="AF1250" s="65"/>
      <c r="AG1250" s="65"/>
      <c r="AH1250" s="627"/>
      <c r="AI1250" s="988"/>
      <c r="AJ1250" s="988"/>
      <c r="AK1250" s="719"/>
      <c r="AL1250" s="153"/>
      <c r="AM1250" s="153"/>
      <c r="AN1250" s="153"/>
      <c r="AO1250" s="153"/>
      <c r="AP1250" s="153"/>
      <c r="AQ1250" s="153"/>
      <c r="AR1250" s="153"/>
      <c r="AS1250" s="121"/>
      <c r="AT1250" s="121"/>
      <c r="AU1250" s="121"/>
      <c r="AV1250" s="121"/>
      <c r="AW1250" s="121"/>
      <c r="AX1250" s="121"/>
      <c r="AY1250" s="121"/>
      <c r="AZ1250" s="121"/>
      <c r="BA1250" s="121"/>
      <c r="BB1250" s="121"/>
      <c r="BC1250" s="121"/>
      <c r="BD1250" s="121"/>
      <c r="BE1250" s="121"/>
      <c r="BF1250" s="121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21"/>
      <c r="BS1250" s="121"/>
      <c r="BT1250" s="121"/>
      <c r="BU1250" s="121"/>
      <c r="BV1250" s="121"/>
      <c r="BW1250" s="121"/>
      <c r="BX1250" s="121"/>
      <c r="BY1250" s="121"/>
      <c r="BZ1250" s="121"/>
      <c r="CA1250" s="121"/>
      <c r="CB1250" s="121"/>
      <c r="CC1250" s="121"/>
      <c r="CD1250" s="121"/>
      <c r="CE1250" s="121"/>
      <c r="CF1250" s="121"/>
      <c r="CG1250" s="121"/>
      <c r="CH1250" s="121"/>
    </row>
    <row r="1251" spans="1:86" s="122" customFormat="1" ht="21.75" hidden="1" customHeight="1" x14ac:dyDescent="0.2">
      <c r="A1251" s="1603">
        <v>5</v>
      </c>
      <c r="B1251" s="1644">
        <v>3399216</v>
      </c>
      <c r="C1251" s="1645" t="s">
        <v>253</v>
      </c>
      <c r="D1251" s="1550">
        <v>3</v>
      </c>
      <c r="E1251" s="1541">
        <v>13500</v>
      </c>
      <c r="F1251" s="1550">
        <v>3</v>
      </c>
      <c r="G1251" s="1541">
        <v>13500</v>
      </c>
      <c r="H1251" s="153"/>
      <c r="I1251" s="153"/>
      <c r="J1251" s="153"/>
      <c r="K1251" s="153"/>
      <c r="L1251" s="153"/>
      <c r="M1251" s="153"/>
      <c r="N1251" s="153"/>
      <c r="O1251" s="153"/>
      <c r="P1251" s="153"/>
      <c r="Q1251" s="153"/>
      <c r="R1251" s="153"/>
      <c r="S1251" s="207"/>
      <c r="T1251" s="153"/>
      <c r="U1251" s="153"/>
      <c r="V1251" s="153"/>
      <c r="W1251" s="91"/>
      <c r="X1251" s="92"/>
      <c r="Y1251" s="155"/>
      <c r="Z1251" s="153"/>
      <c r="AA1251" s="153"/>
      <c r="AB1251" s="153"/>
      <c r="AC1251" s="153"/>
      <c r="AD1251" s="153"/>
      <c r="AE1251" s="153"/>
      <c r="AF1251" s="65"/>
      <c r="AG1251" s="65"/>
      <c r="AH1251" s="627"/>
      <c r="AI1251" s="263"/>
      <c r="AJ1251" s="988"/>
      <c r="AK1251" s="726"/>
      <c r="AL1251" s="1483" t="s">
        <v>441</v>
      </c>
      <c r="AM1251" s="1484" t="s">
        <v>1056</v>
      </c>
      <c r="AN1251" s="1485" t="s">
        <v>495</v>
      </c>
      <c r="AO1251" s="265"/>
      <c r="AP1251" s="1166" t="s">
        <v>2</v>
      </c>
      <c r="AQ1251" s="1474">
        <f>AO1251*8500</f>
        <v>0</v>
      </c>
      <c r="AR1251" s="153"/>
      <c r="AS1251" s="121"/>
      <c r="AT1251" s="121"/>
      <c r="AU1251" s="121"/>
      <c r="AV1251" s="121"/>
      <c r="AW1251" s="121"/>
      <c r="AX1251" s="121"/>
      <c r="AY1251" s="121"/>
      <c r="AZ1251" s="121"/>
      <c r="BA1251" s="121"/>
      <c r="BB1251" s="121"/>
      <c r="BC1251" s="121"/>
      <c r="BD1251" s="121"/>
      <c r="BE1251" s="121"/>
      <c r="BF1251" s="121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21"/>
      <c r="BS1251" s="121"/>
      <c r="BT1251" s="121"/>
      <c r="BU1251" s="121"/>
      <c r="BV1251" s="121"/>
      <c r="BW1251" s="121"/>
      <c r="BX1251" s="121"/>
      <c r="BY1251" s="121"/>
      <c r="BZ1251" s="121"/>
      <c r="CA1251" s="121"/>
      <c r="CB1251" s="121"/>
      <c r="CC1251" s="121"/>
      <c r="CD1251" s="121"/>
      <c r="CE1251" s="121"/>
      <c r="CF1251" s="121"/>
      <c r="CG1251" s="121"/>
      <c r="CH1251" s="121"/>
    </row>
    <row r="1252" spans="1:86" s="122" customFormat="1" ht="27.75" hidden="1" customHeight="1" x14ac:dyDescent="0.2">
      <c r="A1252" s="1604"/>
      <c r="B1252" s="1506"/>
      <c r="C1252" s="1563"/>
      <c r="D1252" s="1551"/>
      <c r="E1252" s="1542"/>
      <c r="F1252" s="1551"/>
      <c r="G1252" s="1542"/>
      <c r="H1252" s="153"/>
      <c r="I1252" s="153"/>
      <c r="J1252" s="153"/>
      <c r="K1252" s="153"/>
      <c r="L1252" s="153"/>
      <c r="M1252" s="153"/>
      <c r="N1252" s="153"/>
      <c r="O1252" s="153"/>
      <c r="P1252" s="153"/>
      <c r="Q1252" s="153"/>
      <c r="R1252" s="153"/>
      <c r="S1252" s="207"/>
      <c r="T1252" s="153"/>
      <c r="U1252" s="153"/>
      <c r="V1252" s="153"/>
      <c r="W1252" s="91"/>
      <c r="X1252" s="92"/>
      <c r="Y1252" s="155"/>
      <c r="Z1252" s="153"/>
      <c r="AA1252" s="153"/>
      <c r="AB1252" s="153"/>
      <c r="AC1252" s="153"/>
      <c r="AD1252" s="153"/>
      <c r="AE1252" s="153"/>
      <c r="AF1252" s="65"/>
      <c r="AG1252" s="65"/>
      <c r="AH1252" s="627"/>
      <c r="AI1252" s="988"/>
      <c r="AJ1252" s="988"/>
      <c r="AK1252" s="726"/>
      <c r="AL1252" s="1671"/>
      <c r="AM1252" s="1504"/>
      <c r="AN1252" s="1489"/>
      <c r="AO1252" s="262"/>
      <c r="AP1252" s="262" t="s">
        <v>3</v>
      </c>
      <c r="AQ1252" s="1482"/>
      <c r="AR1252" s="153"/>
      <c r="AS1252" s="121"/>
      <c r="AT1252" s="121"/>
      <c r="AU1252" s="121"/>
      <c r="AV1252" s="121"/>
      <c r="AW1252" s="121"/>
      <c r="AX1252" s="121"/>
      <c r="AY1252" s="121"/>
      <c r="AZ1252" s="121"/>
      <c r="BA1252" s="121"/>
      <c r="BB1252" s="121"/>
      <c r="BC1252" s="121"/>
      <c r="BD1252" s="121"/>
      <c r="BE1252" s="121"/>
      <c r="BF1252" s="121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21"/>
      <c r="BS1252" s="121"/>
      <c r="BT1252" s="121"/>
      <c r="BU1252" s="121"/>
      <c r="BV1252" s="121"/>
      <c r="BW1252" s="121"/>
      <c r="BX1252" s="121"/>
      <c r="BY1252" s="121"/>
      <c r="BZ1252" s="121"/>
      <c r="CA1252" s="121"/>
      <c r="CB1252" s="121"/>
      <c r="CC1252" s="121"/>
      <c r="CD1252" s="121"/>
      <c r="CE1252" s="121"/>
      <c r="CF1252" s="121"/>
      <c r="CG1252" s="121"/>
      <c r="CH1252" s="121"/>
    </row>
    <row r="1253" spans="1:86" s="122" customFormat="1" ht="21" customHeight="1" x14ac:dyDescent="0.2">
      <c r="A1253" s="1603">
        <v>6</v>
      </c>
      <c r="B1253" s="1644">
        <v>3399209</v>
      </c>
      <c r="C1253" s="1645" t="s">
        <v>254</v>
      </c>
      <c r="D1253" s="1550">
        <v>1.9650000000000001</v>
      </c>
      <c r="E1253" s="1541">
        <v>8865</v>
      </c>
      <c r="F1253" s="1550">
        <v>1.9650000000000001</v>
      </c>
      <c r="G1253" s="1541">
        <v>8865</v>
      </c>
      <c r="H1253" s="153"/>
      <c r="I1253" s="153"/>
      <c r="J1253" s="153"/>
      <c r="K1253" s="153"/>
      <c r="L1253" s="153"/>
      <c r="M1253" s="153"/>
      <c r="N1253" s="153"/>
      <c r="O1253" s="153"/>
      <c r="P1253" s="153"/>
      <c r="Q1253" s="153"/>
      <c r="R1253" s="153"/>
      <c r="S1253" s="207"/>
      <c r="T1253" s="153"/>
      <c r="U1253" s="153"/>
      <c r="V1253" s="153"/>
      <c r="W1253" s="91"/>
      <c r="X1253" s="92"/>
      <c r="Y1253" s="155"/>
      <c r="Z1253" s="153"/>
      <c r="AA1253" s="153"/>
      <c r="AB1253" s="153"/>
      <c r="AC1253" s="153"/>
      <c r="AD1253" s="153"/>
      <c r="AE1253" s="153"/>
      <c r="AF1253" s="1484" t="s">
        <v>441</v>
      </c>
      <c r="AG1253" s="1484" t="s">
        <v>1509</v>
      </c>
      <c r="AH1253" s="1485" t="s">
        <v>495</v>
      </c>
      <c r="AI1253" s="265">
        <v>1.9650000000000001</v>
      </c>
      <c r="AJ1253" s="1166" t="s">
        <v>2</v>
      </c>
      <c r="AK1253" s="1474">
        <v>17000</v>
      </c>
      <c r="AL1253" s="295"/>
      <c r="AM1253" s="153"/>
      <c r="AN1253" s="153"/>
      <c r="AO1253" s="153"/>
      <c r="AP1253" s="153"/>
      <c r="AQ1253" s="153"/>
      <c r="AR1253" s="153"/>
      <c r="AS1253" s="121"/>
      <c r="AT1253" s="121"/>
      <c r="AU1253" s="121"/>
      <c r="AV1253" s="121"/>
      <c r="AW1253" s="121"/>
      <c r="AX1253" s="121"/>
      <c r="AY1253" s="121"/>
      <c r="AZ1253" s="121"/>
      <c r="BA1253" s="121"/>
      <c r="BB1253" s="121"/>
      <c r="BC1253" s="121"/>
      <c r="BD1253" s="121"/>
      <c r="BE1253" s="121"/>
      <c r="BF1253" s="121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21"/>
      <c r="BS1253" s="121"/>
      <c r="BT1253" s="121"/>
      <c r="BU1253" s="121"/>
      <c r="BV1253" s="121"/>
      <c r="BW1253" s="121"/>
      <c r="BX1253" s="121"/>
      <c r="BY1253" s="121"/>
      <c r="BZ1253" s="121"/>
      <c r="CA1253" s="121"/>
      <c r="CB1253" s="121"/>
      <c r="CC1253" s="121"/>
      <c r="CD1253" s="121"/>
      <c r="CE1253" s="121"/>
      <c r="CF1253" s="121"/>
      <c r="CG1253" s="121"/>
      <c r="CH1253" s="121"/>
    </row>
    <row r="1254" spans="1:86" s="122" customFormat="1" ht="20.25" customHeight="1" thickBot="1" x14ac:dyDescent="0.25">
      <c r="A1254" s="1604"/>
      <c r="B1254" s="1506"/>
      <c r="C1254" s="1563"/>
      <c r="D1254" s="1551"/>
      <c r="E1254" s="1542"/>
      <c r="F1254" s="1551"/>
      <c r="G1254" s="1542"/>
      <c r="H1254" s="153"/>
      <c r="I1254" s="153"/>
      <c r="J1254" s="153"/>
      <c r="K1254" s="153"/>
      <c r="L1254" s="153"/>
      <c r="M1254" s="153"/>
      <c r="N1254" s="153"/>
      <c r="O1254" s="153"/>
      <c r="P1254" s="153"/>
      <c r="Q1254" s="153"/>
      <c r="R1254" s="153"/>
      <c r="S1254" s="207"/>
      <c r="T1254" s="153"/>
      <c r="U1254" s="153"/>
      <c r="V1254" s="153"/>
      <c r="W1254" s="91"/>
      <c r="X1254" s="92"/>
      <c r="Y1254" s="155"/>
      <c r="Z1254" s="153"/>
      <c r="AA1254" s="153"/>
      <c r="AB1254" s="153"/>
      <c r="AC1254" s="153"/>
      <c r="AD1254" s="153"/>
      <c r="AE1254" s="153"/>
      <c r="AF1254" s="1484"/>
      <c r="AG1254" s="1484"/>
      <c r="AH1254" s="1485"/>
      <c r="AI1254" s="1167">
        <v>8865</v>
      </c>
      <c r="AJ1254" s="1167" t="s">
        <v>3</v>
      </c>
      <c r="AK1254" s="1474"/>
      <c r="AL1254" s="153"/>
      <c r="AM1254" s="153"/>
      <c r="AN1254" s="153"/>
      <c r="AO1254" s="153"/>
      <c r="AP1254" s="153"/>
      <c r="AQ1254" s="153"/>
      <c r="AR1254" s="153"/>
      <c r="AS1254" s="121"/>
      <c r="AT1254" s="121"/>
      <c r="AU1254" s="121"/>
      <c r="AV1254" s="121"/>
      <c r="AW1254" s="121"/>
      <c r="AX1254" s="121"/>
      <c r="AY1254" s="121"/>
      <c r="AZ1254" s="121"/>
      <c r="BA1254" s="121"/>
      <c r="BB1254" s="121"/>
      <c r="BC1254" s="121"/>
      <c r="BD1254" s="121"/>
      <c r="BE1254" s="121"/>
      <c r="BF1254" s="121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21"/>
      <c r="BS1254" s="121"/>
      <c r="BT1254" s="121"/>
      <c r="BU1254" s="121"/>
      <c r="BV1254" s="121"/>
      <c r="BW1254" s="121"/>
      <c r="BX1254" s="121"/>
      <c r="BY1254" s="121"/>
      <c r="BZ1254" s="121"/>
      <c r="CA1254" s="121"/>
      <c r="CB1254" s="121"/>
      <c r="CC1254" s="121"/>
      <c r="CD1254" s="121"/>
      <c r="CE1254" s="121"/>
      <c r="CF1254" s="121"/>
      <c r="CG1254" s="121"/>
      <c r="CH1254" s="121"/>
    </row>
    <row r="1255" spans="1:86" s="122" customFormat="1" ht="21.75" customHeight="1" x14ac:dyDescent="0.2">
      <c r="A1255" s="1603">
        <v>7</v>
      </c>
      <c r="B1255" s="1644">
        <v>3399228</v>
      </c>
      <c r="C1255" s="1645" t="s">
        <v>255</v>
      </c>
      <c r="D1255" s="1550">
        <v>2</v>
      </c>
      <c r="E1255" s="1541">
        <f>D1255*5000</f>
        <v>10000</v>
      </c>
      <c r="F1255" s="1550">
        <v>2</v>
      </c>
      <c r="G1255" s="1541">
        <f>F1255*5000</f>
        <v>10000</v>
      </c>
      <c r="H1255" s="153"/>
      <c r="I1255" s="153"/>
      <c r="J1255" s="153"/>
      <c r="K1255" s="153"/>
      <c r="L1255" s="153"/>
      <c r="M1255" s="153"/>
      <c r="N1255" s="153"/>
      <c r="O1255" s="153"/>
      <c r="P1255" s="153"/>
      <c r="Q1255" s="153"/>
      <c r="R1255" s="153"/>
      <c r="S1255" s="207"/>
      <c r="T1255" s="153"/>
      <c r="U1255" s="153"/>
      <c r="V1255" s="153"/>
      <c r="W1255" s="91"/>
      <c r="X1255" s="92"/>
      <c r="Y1255" s="155"/>
      <c r="Z1255" s="1503" t="s">
        <v>441</v>
      </c>
      <c r="AA1255" s="1503" t="s">
        <v>534</v>
      </c>
      <c r="AB1255" s="1488" t="s">
        <v>495</v>
      </c>
      <c r="AC1255" s="261">
        <v>2</v>
      </c>
      <c r="AD1255" s="262" t="s">
        <v>2</v>
      </c>
      <c r="AE1255" s="2480">
        <v>12077.83836</v>
      </c>
      <c r="AF1255" s="65"/>
      <c r="AG1255" s="65"/>
      <c r="AH1255" s="627"/>
      <c r="AI1255" s="263"/>
      <c r="AJ1255" s="988"/>
      <c r="AK1255" s="726"/>
      <c r="AL1255" s="354"/>
      <c r="AM1255" s="153"/>
      <c r="AN1255" s="153"/>
      <c r="AO1255" s="153"/>
      <c r="AP1255" s="153"/>
      <c r="AQ1255" s="153"/>
      <c r="AR1255" s="153"/>
      <c r="AS1255" s="121"/>
      <c r="AT1255" s="121"/>
      <c r="AU1255" s="121"/>
      <c r="AV1255" s="121"/>
      <c r="AW1255" s="121"/>
      <c r="AX1255" s="121"/>
      <c r="AY1255" s="121"/>
      <c r="AZ1255" s="121"/>
      <c r="BA1255" s="121"/>
      <c r="BB1255" s="121"/>
      <c r="BC1255" s="121"/>
      <c r="BD1255" s="121"/>
      <c r="BE1255" s="121"/>
      <c r="BF1255" s="121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21"/>
      <c r="BS1255" s="121"/>
      <c r="BT1255" s="121"/>
      <c r="BU1255" s="121"/>
      <c r="BV1255" s="121"/>
      <c r="BW1255" s="121"/>
      <c r="BX1255" s="121"/>
      <c r="BY1255" s="121"/>
      <c r="BZ1255" s="121"/>
      <c r="CA1255" s="121"/>
      <c r="CB1255" s="121"/>
      <c r="CC1255" s="121"/>
      <c r="CD1255" s="121"/>
      <c r="CE1255" s="121"/>
      <c r="CF1255" s="121"/>
      <c r="CG1255" s="121"/>
      <c r="CH1255" s="121"/>
    </row>
    <row r="1256" spans="1:86" s="122" customFormat="1" ht="21.75" customHeight="1" thickBot="1" x14ac:dyDescent="0.25">
      <c r="A1256" s="1604"/>
      <c r="B1256" s="1506"/>
      <c r="C1256" s="1563"/>
      <c r="D1256" s="1551"/>
      <c r="E1256" s="1542"/>
      <c r="F1256" s="1551"/>
      <c r="G1256" s="1542"/>
      <c r="H1256" s="153"/>
      <c r="I1256" s="153"/>
      <c r="J1256" s="153"/>
      <c r="K1256" s="153"/>
      <c r="L1256" s="153"/>
      <c r="M1256" s="153"/>
      <c r="N1256" s="153"/>
      <c r="O1256" s="153"/>
      <c r="P1256" s="153"/>
      <c r="Q1256" s="153"/>
      <c r="R1256" s="153"/>
      <c r="S1256" s="207"/>
      <c r="T1256" s="153"/>
      <c r="U1256" s="153"/>
      <c r="V1256" s="153"/>
      <c r="W1256" s="91"/>
      <c r="X1256" s="92"/>
      <c r="Y1256" s="155"/>
      <c r="Z1256" s="1504"/>
      <c r="AA1256" s="1504"/>
      <c r="AB1256" s="1489"/>
      <c r="AC1256" s="262">
        <v>10000</v>
      </c>
      <c r="AD1256" s="262" t="s">
        <v>3</v>
      </c>
      <c r="AE1256" s="2481"/>
      <c r="AF1256" s="65"/>
      <c r="AG1256" s="65"/>
      <c r="AH1256" s="627"/>
      <c r="AI1256" s="988"/>
      <c r="AJ1256" s="988"/>
      <c r="AK1256" s="726"/>
      <c r="AL1256" s="382"/>
      <c r="AM1256" s="153"/>
      <c r="AN1256" s="153"/>
      <c r="AO1256" s="153"/>
      <c r="AP1256" s="153"/>
      <c r="AQ1256" s="153"/>
      <c r="AR1256" s="153"/>
      <c r="AS1256" s="121"/>
      <c r="AT1256" s="121"/>
      <c r="AU1256" s="121"/>
      <c r="AV1256" s="121"/>
      <c r="AW1256" s="121"/>
      <c r="AX1256" s="121"/>
      <c r="AY1256" s="121"/>
      <c r="AZ1256" s="121"/>
      <c r="BA1256" s="121"/>
      <c r="BB1256" s="121"/>
      <c r="BC1256" s="121"/>
      <c r="BD1256" s="121"/>
      <c r="BE1256" s="121"/>
      <c r="BF1256" s="121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21"/>
      <c r="BS1256" s="121"/>
      <c r="BT1256" s="121"/>
      <c r="BU1256" s="121"/>
      <c r="BV1256" s="121"/>
      <c r="BW1256" s="121"/>
      <c r="BX1256" s="121"/>
      <c r="BY1256" s="121"/>
      <c r="BZ1256" s="121"/>
      <c r="CA1256" s="121"/>
      <c r="CB1256" s="121"/>
      <c r="CC1256" s="121"/>
      <c r="CD1256" s="121"/>
      <c r="CE1256" s="121"/>
      <c r="CF1256" s="121"/>
      <c r="CG1256" s="121"/>
      <c r="CH1256" s="121"/>
    </row>
    <row r="1257" spans="1:86" s="122" customFormat="1" ht="21.75" hidden="1" customHeight="1" x14ac:dyDescent="0.2">
      <c r="A1257" s="1603">
        <v>7</v>
      </c>
      <c r="B1257" s="1644">
        <v>3399229</v>
      </c>
      <c r="C1257" s="1645" t="s">
        <v>256</v>
      </c>
      <c r="D1257" s="1550">
        <v>4</v>
      </c>
      <c r="E1257" s="1541">
        <v>18000</v>
      </c>
      <c r="F1257" s="1550">
        <v>4</v>
      </c>
      <c r="G1257" s="1541">
        <v>18000</v>
      </c>
      <c r="H1257" s="153"/>
      <c r="I1257" s="153"/>
      <c r="J1257" s="153"/>
      <c r="K1257" s="153"/>
      <c r="L1257" s="153"/>
      <c r="M1257" s="153"/>
      <c r="N1257" s="153"/>
      <c r="O1257" s="153"/>
      <c r="P1257" s="153"/>
      <c r="Q1257" s="153"/>
      <c r="R1257" s="153"/>
      <c r="S1257" s="207"/>
      <c r="T1257" s="153"/>
      <c r="U1257" s="153"/>
      <c r="V1257" s="153"/>
      <c r="W1257" s="91"/>
      <c r="X1257" s="92"/>
      <c r="Y1257" s="155"/>
      <c r="Z1257" s="153"/>
      <c r="AA1257" s="153"/>
      <c r="AB1257" s="153"/>
      <c r="AC1257" s="153"/>
      <c r="AD1257" s="153"/>
      <c r="AE1257" s="153"/>
      <c r="AF1257" s="65"/>
      <c r="AG1257" s="65"/>
      <c r="AH1257" s="627"/>
      <c r="AI1257" s="263"/>
      <c r="AJ1257" s="988"/>
      <c r="AK1257" s="726"/>
      <c r="AL1257" s="1483" t="s">
        <v>441</v>
      </c>
      <c r="AM1257" s="1484" t="s">
        <v>475</v>
      </c>
      <c r="AN1257" s="1485" t="s">
        <v>495</v>
      </c>
      <c r="AO1257" s="265"/>
      <c r="AP1257" s="1166" t="s">
        <v>2</v>
      </c>
      <c r="AQ1257" s="1474"/>
      <c r="AR1257" s="153"/>
      <c r="AS1257" s="121"/>
      <c r="AT1257" s="121"/>
      <c r="AU1257" s="121"/>
      <c r="AV1257" s="121"/>
      <c r="AW1257" s="121"/>
      <c r="AX1257" s="121"/>
      <c r="AY1257" s="121"/>
      <c r="AZ1257" s="121"/>
      <c r="BA1257" s="121"/>
      <c r="BB1257" s="121"/>
      <c r="BC1257" s="121"/>
      <c r="BD1257" s="121"/>
      <c r="BE1257" s="121"/>
      <c r="BF1257" s="121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21"/>
      <c r="BS1257" s="121"/>
      <c r="BT1257" s="121"/>
      <c r="BU1257" s="121"/>
      <c r="BV1257" s="121"/>
      <c r="BW1257" s="121"/>
      <c r="BX1257" s="121"/>
      <c r="BY1257" s="121"/>
      <c r="BZ1257" s="121"/>
      <c r="CA1257" s="121"/>
      <c r="CB1257" s="121"/>
      <c r="CC1257" s="121"/>
      <c r="CD1257" s="121"/>
      <c r="CE1257" s="121"/>
      <c r="CF1257" s="121"/>
      <c r="CG1257" s="121"/>
      <c r="CH1257" s="121"/>
    </row>
    <row r="1258" spans="1:86" s="122" customFormat="1" ht="21.75" hidden="1" customHeight="1" thickBot="1" x14ac:dyDescent="0.25">
      <c r="A1258" s="1604"/>
      <c r="B1258" s="1506"/>
      <c r="C1258" s="1563"/>
      <c r="D1258" s="1551"/>
      <c r="E1258" s="1542"/>
      <c r="F1258" s="1551"/>
      <c r="G1258" s="1542"/>
      <c r="H1258" s="153"/>
      <c r="I1258" s="153"/>
      <c r="J1258" s="153"/>
      <c r="K1258" s="153"/>
      <c r="L1258" s="153"/>
      <c r="M1258" s="153"/>
      <c r="N1258" s="153"/>
      <c r="O1258" s="153"/>
      <c r="P1258" s="153"/>
      <c r="Q1258" s="153"/>
      <c r="R1258" s="153"/>
      <c r="S1258" s="207"/>
      <c r="T1258" s="153"/>
      <c r="U1258" s="153"/>
      <c r="V1258" s="153"/>
      <c r="W1258" s="91"/>
      <c r="X1258" s="92"/>
      <c r="Y1258" s="155"/>
      <c r="Z1258" s="153"/>
      <c r="AA1258" s="153"/>
      <c r="AB1258" s="153"/>
      <c r="AC1258" s="153"/>
      <c r="AD1258" s="153"/>
      <c r="AE1258" s="153"/>
      <c r="AF1258" s="65"/>
      <c r="AG1258" s="65"/>
      <c r="AH1258" s="627"/>
      <c r="AI1258" s="988"/>
      <c r="AJ1258" s="988"/>
      <c r="AK1258" s="726"/>
      <c r="AL1258" s="1483"/>
      <c r="AM1258" s="1484"/>
      <c r="AN1258" s="1485"/>
      <c r="AO1258" s="1167"/>
      <c r="AP1258" s="1167" t="s">
        <v>3</v>
      </c>
      <c r="AQ1258" s="1474"/>
      <c r="AR1258" s="153"/>
      <c r="AS1258" s="121"/>
      <c r="AT1258" s="121"/>
      <c r="AU1258" s="121"/>
      <c r="AV1258" s="121"/>
      <c r="AW1258" s="121"/>
      <c r="AX1258" s="121"/>
      <c r="AY1258" s="121"/>
      <c r="AZ1258" s="121"/>
      <c r="BA1258" s="121"/>
      <c r="BB1258" s="121"/>
      <c r="BC1258" s="121"/>
      <c r="BD1258" s="121"/>
      <c r="BE1258" s="121"/>
      <c r="BF1258" s="121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21"/>
      <c r="BS1258" s="121"/>
      <c r="BT1258" s="121"/>
      <c r="BU1258" s="121"/>
      <c r="BV1258" s="121"/>
      <c r="BW1258" s="121"/>
      <c r="BX1258" s="121"/>
      <c r="BY1258" s="121"/>
      <c r="BZ1258" s="121"/>
      <c r="CA1258" s="121"/>
      <c r="CB1258" s="121"/>
      <c r="CC1258" s="121"/>
      <c r="CD1258" s="121"/>
      <c r="CE1258" s="121"/>
      <c r="CF1258" s="121"/>
      <c r="CG1258" s="121"/>
      <c r="CH1258" s="121"/>
    </row>
    <row r="1259" spans="1:86" s="122" customFormat="1" ht="21.75" customHeight="1" x14ac:dyDescent="0.2">
      <c r="A1259" s="1603">
        <v>8</v>
      </c>
      <c r="B1259" s="1644">
        <v>3399232</v>
      </c>
      <c r="C1259" s="1645" t="s">
        <v>574</v>
      </c>
      <c r="D1259" s="1550">
        <v>0.9</v>
      </c>
      <c r="E1259" s="1541">
        <v>3600</v>
      </c>
      <c r="F1259" s="1550">
        <v>0.9</v>
      </c>
      <c r="G1259" s="1541">
        <v>3600</v>
      </c>
      <c r="H1259" s="153"/>
      <c r="I1259" s="153"/>
      <c r="J1259" s="153"/>
      <c r="K1259" s="153"/>
      <c r="L1259" s="153"/>
      <c r="M1259" s="153"/>
      <c r="N1259" s="153"/>
      <c r="O1259" s="153"/>
      <c r="P1259" s="153"/>
      <c r="Q1259" s="153"/>
      <c r="R1259" s="153"/>
      <c r="S1259" s="207"/>
      <c r="T1259" s="153"/>
      <c r="U1259" s="153"/>
      <c r="V1259" s="153"/>
      <c r="W1259" s="91"/>
      <c r="X1259" s="92"/>
      <c r="Y1259" s="155"/>
      <c r="Z1259" s="1694" t="s">
        <v>441</v>
      </c>
      <c r="AA1259" s="1503" t="s">
        <v>532</v>
      </c>
      <c r="AB1259" s="1488" t="s">
        <v>495</v>
      </c>
      <c r="AC1259" s="261">
        <v>1.2</v>
      </c>
      <c r="AD1259" s="262" t="s">
        <v>2</v>
      </c>
      <c r="AE1259" s="2478">
        <v>10700.277340000001</v>
      </c>
      <c r="AF1259" s="65"/>
      <c r="AG1259" s="65"/>
      <c r="AH1259" s="627"/>
      <c r="AI1259" s="263"/>
      <c r="AJ1259" s="988"/>
      <c r="AK1259" s="719"/>
      <c r="AL1259" s="295"/>
      <c r="AM1259" s="65"/>
      <c r="AN1259" s="65"/>
      <c r="AO1259" s="263"/>
      <c r="AP1259" s="988"/>
      <c r="AQ1259" s="264"/>
      <c r="AR1259" s="246"/>
      <c r="AS1259" s="121"/>
      <c r="AT1259" s="121"/>
      <c r="AU1259" s="121"/>
      <c r="AV1259" s="121"/>
      <c r="AW1259" s="121"/>
      <c r="AX1259" s="121"/>
      <c r="AY1259" s="121"/>
      <c r="AZ1259" s="121"/>
      <c r="BA1259" s="121"/>
      <c r="BB1259" s="121"/>
      <c r="BC1259" s="121"/>
      <c r="BD1259" s="121"/>
      <c r="BE1259" s="121"/>
      <c r="BF1259" s="121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21"/>
      <c r="BS1259" s="121"/>
      <c r="BT1259" s="121"/>
      <c r="BU1259" s="121"/>
      <c r="BV1259" s="121"/>
      <c r="BW1259" s="121"/>
      <c r="BX1259" s="121"/>
      <c r="BY1259" s="121"/>
      <c r="BZ1259" s="121"/>
      <c r="CA1259" s="121"/>
      <c r="CB1259" s="121"/>
      <c r="CC1259" s="121"/>
      <c r="CD1259" s="121"/>
      <c r="CE1259" s="121"/>
      <c r="CF1259" s="121"/>
      <c r="CG1259" s="121"/>
      <c r="CH1259" s="121"/>
    </row>
    <row r="1260" spans="1:86" s="122" customFormat="1" ht="21.75" customHeight="1" x14ac:dyDescent="0.2">
      <c r="A1260" s="1604"/>
      <c r="B1260" s="1506"/>
      <c r="C1260" s="1563"/>
      <c r="D1260" s="1551"/>
      <c r="E1260" s="1542"/>
      <c r="F1260" s="1551"/>
      <c r="G1260" s="1542"/>
      <c r="H1260" s="153"/>
      <c r="I1260" s="153"/>
      <c r="J1260" s="153"/>
      <c r="K1260" s="153"/>
      <c r="L1260" s="153"/>
      <c r="M1260" s="153"/>
      <c r="N1260" s="153"/>
      <c r="O1260" s="153"/>
      <c r="P1260" s="153"/>
      <c r="Q1260" s="153"/>
      <c r="R1260" s="153"/>
      <c r="S1260" s="207"/>
      <c r="T1260" s="153"/>
      <c r="U1260" s="153"/>
      <c r="V1260" s="153"/>
      <c r="W1260" s="91"/>
      <c r="X1260" s="92"/>
      <c r="Y1260" s="155"/>
      <c r="Z1260" s="1695"/>
      <c r="AA1260" s="1504"/>
      <c r="AB1260" s="1489"/>
      <c r="AC1260" s="262">
        <v>3200</v>
      </c>
      <c r="AD1260" s="262" t="s">
        <v>3</v>
      </c>
      <c r="AE1260" s="2479"/>
      <c r="AF1260" s="65"/>
      <c r="AG1260" s="65"/>
      <c r="AH1260" s="627"/>
      <c r="AI1260" s="988"/>
      <c r="AJ1260" s="988"/>
      <c r="AK1260" s="719"/>
      <c r="AL1260" s="153"/>
      <c r="AM1260" s="65"/>
      <c r="AN1260" s="65"/>
      <c r="AO1260" s="988"/>
      <c r="AP1260" s="988"/>
      <c r="AQ1260" s="264"/>
      <c r="AR1260" s="92"/>
      <c r="AS1260" s="121"/>
      <c r="AT1260" s="121"/>
      <c r="AU1260" s="121"/>
      <c r="AV1260" s="121"/>
      <c r="AW1260" s="121"/>
      <c r="AX1260" s="121"/>
      <c r="AY1260" s="121"/>
      <c r="AZ1260" s="121"/>
      <c r="BA1260" s="121"/>
      <c r="BB1260" s="121"/>
      <c r="BC1260" s="121"/>
      <c r="BD1260" s="121"/>
      <c r="BE1260" s="121"/>
      <c r="BF1260" s="121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21"/>
      <c r="BS1260" s="121"/>
      <c r="BT1260" s="121"/>
      <c r="BU1260" s="121"/>
      <c r="BV1260" s="121"/>
      <c r="BW1260" s="121"/>
      <c r="BX1260" s="121"/>
      <c r="BY1260" s="121"/>
      <c r="BZ1260" s="121"/>
      <c r="CA1260" s="121"/>
      <c r="CB1260" s="121"/>
      <c r="CC1260" s="121"/>
      <c r="CD1260" s="121"/>
      <c r="CE1260" s="121"/>
      <c r="CF1260" s="121"/>
      <c r="CG1260" s="121"/>
      <c r="CH1260" s="121"/>
    </row>
    <row r="1261" spans="1:86" s="122" customFormat="1" ht="21.75" customHeight="1" x14ac:dyDescent="0.2">
      <c r="A1261" s="1603">
        <v>9</v>
      </c>
      <c r="B1261" s="1644">
        <v>3399226</v>
      </c>
      <c r="C1261" s="1645" t="s">
        <v>257</v>
      </c>
      <c r="D1261" s="1550">
        <v>3</v>
      </c>
      <c r="E1261" s="1541">
        <v>18000</v>
      </c>
      <c r="F1261" s="1550">
        <v>3</v>
      </c>
      <c r="G1261" s="1541">
        <v>18000</v>
      </c>
      <c r="H1261" s="153"/>
      <c r="I1261" s="153"/>
      <c r="J1261" s="153"/>
      <c r="K1261" s="153"/>
      <c r="L1261" s="153"/>
      <c r="M1261" s="153"/>
      <c r="N1261" s="153"/>
      <c r="O1261" s="153"/>
      <c r="P1261" s="153"/>
      <c r="Q1261" s="153"/>
      <c r="R1261" s="153"/>
      <c r="S1261" s="207"/>
      <c r="T1261" s="153"/>
      <c r="U1261" s="153"/>
      <c r="V1261" s="153"/>
      <c r="W1261" s="91"/>
      <c r="X1261" s="92"/>
      <c r="Y1261" s="155"/>
      <c r="Z1261" s="153"/>
      <c r="AA1261" s="153"/>
      <c r="AB1261" s="153"/>
      <c r="AC1261" s="153"/>
      <c r="AD1261" s="153"/>
      <c r="AE1261" s="153"/>
      <c r="AF1261" s="1495" t="s">
        <v>441</v>
      </c>
      <c r="AG1261" s="1484" t="s">
        <v>1510</v>
      </c>
      <c r="AH1261" s="1485" t="s">
        <v>495</v>
      </c>
      <c r="AI1261" s="265">
        <v>1.22</v>
      </c>
      <c r="AJ1261" s="1166" t="s">
        <v>2</v>
      </c>
      <c r="AK1261" s="2482">
        <v>14000</v>
      </c>
      <c r="AL1261" s="295"/>
      <c r="AM1261" s="65"/>
      <c r="AN1261" s="65"/>
      <c r="AO1261" s="263"/>
      <c r="AP1261" s="988"/>
      <c r="AQ1261" s="264"/>
      <c r="AR1261" s="246"/>
      <c r="AS1261" s="121"/>
      <c r="AT1261" s="121"/>
      <c r="AU1261" s="121"/>
      <c r="AV1261" s="121"/>
      <c r="AW1261" s="121"/>
      <c r="AX1261" s="121"/>
      <c r="AY1261" s="121"/>
      <c r="AZ1261" s="121"/>
      <c r="BA1261" s="121"/>
      <c r="BB1261" s="121"/>
      <c r="BC1261" s="121"/>
      <c r="BD1261" s="121"/>
      <c r="BE1261" s="121"/>
      <c r="BF1261" s="121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21"/>
      <c r="BS1261" s="121"/>
      <c r="BT1261" s="121"/>
      <c r="BU1261" s="121"/>
      <c r="BV1261" s="121"/>
      <c r="BW1261" s="121"/>
      <c r="BX1261" s="121"/>
      <c r="BY1261" s="121"/>
      <c r="BZ1261" s="121"/>
      <c r="CA1261" s="121"/>
      <c r="CB1261" s="121"/>
      <c r="CC1261" s="121"/>
      <c r="CD1261" s="121"/>
      <c r="CE1261" s="121"/>
      <c r="CF1261" s="121"/>
      <c r="CG1261" s="121"/>
      <c r="CH1261" s="121"/>
    </row>
    <row r="1262" spans="1:86" s="122" customFormat="1" ht="21.75" customHeight="1" thickBot="1" x14ac:dyDescent="0.25">
      <c r="A1262" s="1604"/>
      <c r="B1262" s="1506"/>
      <c r="C1262" s="1563"/>
      <c r="D1262" s="1551"/>
      <c r="E1262" s="1542"/>
      <c r="F1262" s="1551"/>
      <c r="G1262" s="1542"/>
      <c r="H1262" s="153"/>
      <c r="I1262" s="153"/>
      <c r="J1262" s="153"/>
      <c r="K1262" s="153"/>
      <c r="L1262" s="153"/>
      <c r="M1262" s="153"/>
      <c r="N1262" s="153"/>
      <c r="O1262" s="153"/>
      <c r="P1262" s="153"/>
      <c r="Q1262" s="153"/>
      <c r="R1262" s="153"/>
      <c r="S1262" s="207"/>
      <c r="T1262" s="153"/>
      <c r="U1262" s="153"/>
      <c r="V1262" s="153"/>
      <c r="W1262" s="91"/>
      <c r="X1262" s="92"/>
      <c r="Y1262" s="155"/>
      <c r="Z1262" s="153"/>
      <c r="AA1262" s="153"/>
      <c r="AB1262" s="153"/>
      <c r="AC1262" s="153"/>
      <c r="AD1262" s="153"/>
      <c r="AE1262" s="153"/>
      <c r="AF1262" s="1495"/>
      <c r="AG1262" s="1496"/>
      <c r="AH1262" s="1494"/>
      <c r="AI1262" s="1167">
        <v>7320</v>
      </c>
      <c r="AJ1262" s="1167" t="s">
        <v>3</v>
      </c>
      <c r="AK1262" s="2483"/>
      <c r="AL1262" s="153"/>
      <c r="AM1262" s="65"/>
      <c r="AN1262" s="65"/>
      <c r="AO1262" s="988"/>
      <c r="AP1262" s="988"/>
      <c r="AQ1262" s="264"/>
      <c r="AR1262" s="92"/>
      <c r="AS1262" s="121"/>
      <c r="AT1262" s="121"/>
      <c r="AU1262" s="121"/>
      <c r="AV1262" s="121"/>
      <c r="AW1262" s="121"/>
      <c r="AX1262" s="121"/>
      <c r="AY1262" s="121"/>
      <c r="AZ1262" s="121"/>
      <c r="BA1262" s="121"/>
      <c r="BB1262" s="121"/>
      <c r="BC1262" s="121"/>
      <c r="BD1262" s="121"/>
      <c r="BE1262" s="121"/>
      <c r="BF1262" s="121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21"/>
      <c r="BS1262" s="121"/>
      <c r="BT1262" s="121"/>
      <c r="BU1262" s="121"/>
      <c r="BV1262" s="121"/>
      <c r="BW1262" s="121"/>
      <c r="BX1262" s="121"/>
      <c r="BY1262" s="121"/>
      <c r="BZ1262" s="121"/>
      <c r="CA1262" s="121"/>
      <c r="CB1262" s="121"/>
      <c r="CC1262" s="121"/>
      <c r="CD1262" s="121"/>
      <c r="CE1262" s="121"/>
      <c r="CF1262" s="121"/>
      <c r="CG1262" s="121"/>
      <c r="CH1262" s="121"/>
    </row>
    <row r="1263" spans="1:86" s="122" customFormat="1" ht="21.75" customHeight="1" x14ac:dyDescent="0.2">
      <c r="A1263" s="1603">
        <v>10</v>
      </c>
      <c r="B1263" s="1644">
        <v>3399224</v>
      </c>
      <c r="C1263" s="1645" t="s">
        <v>258</v>
      </c>
      <c r="D1263" s="2484">
        <v>3.2</v>
      </c>
      <c r="E1263" s="2485">
        <v>13750</v>
      </c>
      <c r="F1263" s="1550">
        <f>1.5+1.7</f>
        <v>3.2</v>
      </c>
      <c r="G1263" s="2485">
        <f>E1263</f>
        <v>13750</v>
      </c>
      <c r="H1263" s="153"/>
      <c r="I1263" s="153"/>
      <c r="J1263" s="153"/>
      <c r="K1263" s="153"/>
      <c r="L1263" s="153"/>
      <c r="M1263" s="153"/>
      <c r="N1263" s="153"/>
      <c r="O1263" s="153"/>
      <c r="P1263" s="153"/>
      <c r="Q1263" s="153"/>
      <c r="R1263" s="153"/>
      <c r="S1263" s="207"/>
      <c r="T1263" s="2332" t="s">
        <v>441</v>
      </c>
      <c r="U1263" s="2238" t="s">
        <v>535</v>
      </c>
      <c r="V1263" s="2380" t="s">
        <v>495</v>
      </c>
      <c r="W1263" s="793">
        <f>1+2.2</f>
        <v>3.2</v>
      </c>
      <c r="X1263" s="538" t="s">
        <v>2</v>
      </c>
      <c r="Y1263" s="2361">
        <f>25696.83217+1077.18728</f>
        <v>26774.01945</v>
      </c>
      <c r="Z1263" s="153"/>
      <c r="AA1263" s="153"/>
      <c r="AB1263" s="153"/>
      <c r="AC1263" s="153"/>
      <c r="AD1263" s="153"/>
      <c r="AE1263" s="153"/>
      <c r="AF1263" s="64"/>
      <c r="AG1263" s="64"/>
      <c r="AH1263" s="627"/>
      <c r="AI1263" s="66"/>
      <c r="AJ1263" s="67"/>
      <c r="AK1263" s="742"/>
      <c r="AL1263" s="295"/>
      <c r="AM1263" s="64"/>
      <c r="AN1263" s="65"/>
      <c r="AO1263" s="66"/>
      <c r="AP1263" s="67"/>
      <c r="AQ1263" s="68"/>
      <c r="AR1263" s="246"/>
      <c r="AS1263" s="121"/>
      <c r="AT1263" s="121"/>
      <c r="AU1263" s="121"/>
      <c r="AV1263" s="121"/>
      <c r="AW1263" s="121"/>
      <c r="AX1263" s="121"/>
      <c r="AY1263" s="121"/>
      <c r="AZ1263" s="121"/>
      <c r="BA1263" s="121"/>
      <c r="BB1263" s="121"/>
      <c r="BC1263" s="121"/>
      <c r="BD1263" s="121"/>
      <c r="BE1263" s="121"/>
      <c r="BF1263" s="121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21"/>
      <c r="BS1263" s="121"/>
      <c r="BT1263" s="121"/>
      <c r="BU1263" s="121"/>
      <c r="BV1263" s="121"/>
      <c r="BW1263" s="121"/>
      <c r="BX1263" s="121"/>
      <c r="BY1263" s="121"/>
      <c r="BZ1263" s="121"/>
      <c r="CA1263" s="121"/>
      <c r="CB1263" s="121"/>
      <c r="CC1263" s="121"/>
      <c r="CD1263" s="121"/>
      <c r="CE1263" s="121"/>
      <c r="CF1263" s="121"/>
      <c r="CG1263" s="121"/>
      <c r="CH1263" s="121"/>
    </row>
    <row r="1264" spans="1:86" s="122" customFormat="1" ht="24.4" customHeight="1" x14ac:dyDescent="0.2">
      <c r="A1264" s="1604"/>
      <c r="B1264" s="1506"/>
      <c r="C1264" s="1563"/>
      <c r="D1264" s="2486"/>
      <c r="E1264" s="2487"/>
      <c r="F1264" s="1551"/>
      <c r="G1264" s="2487"/>
      <c r="H1264" s="153"/>
      <c r="I1264" s="153"/>
      <c r="J1264" s="153"/>
      <c r="K1264" s="153"/>
      <c r="L1264" s="153"/>
      <c r="M1264" s="153"/>
      <c r="N1264" s="153"/>
      <c r="O1264" s="153"/>
      <c r="P1264" s="153"/>
      <c r="Q1264" s="153"/>
      <c r="R1264" s="153"/>
      <c r="S1264" s="207"/>
      <c r="T1264" s="2333"/>
      <c r="U1264" s="2239"/>
      <c r="V1264" s="1484"/>
      <c r="W1264" s="798">
        <v>13750</v>
      </c>
      <c r="X1264" s="693" t="s">
        <v>3</v>
      </c>
      <c r="Y1264" s="2362"/>
      <c r="Z1264" s="153"/>
      <c r="AA1264" s="153"/>
      <c r="AB1264" s="153"/>
      <c r="AC1264" s="153"/>
      <c r="AD1264" s="153"/>
      <c r="AE1264" s="153"/>
      <c r="AF1264" s="64"/>
      <c r="AG1264" s="64"/>
      <c r="AH1264" s="627"/>
      <c r="AI1264" s="2488"/>
      <c r="AJ1264" s="67"/>
      <c r="AK1264" s="742"/>
      <c r="AL1264" s="153"/>
      <c r="AM1264" s="64"/>
      <c r="AN1264" s="65"/>
      <c r="AO1264" s="67"/>
      <c r="AP1264" s="67"/>
      <c r="AQ1264" s="68"/>
      <c r="AR1264" s="92"/>
      <c r="AS1264" s="121"/>
      <c r="AT1264" s="121"/>
      <c r="AU1264" s="121"/>
      <c r="AV1264" s="121"/>
      <c r="AW1264" s="121"/>
      <c r="AX1264" s="121"/>
      <c r="AY1264" s="121"/>
      <c r="AZ1264" s="121"/>
      <c r="BA1264" s="121"/>
      <c r="BB1264" s="121"/>
      <c r="BC1264" s="121"/>
      <c r="BD1264" s="121"/>
      <c r="BE1264" s="121"/>
      <c r="BF1264" s="121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21"/>
      <c r="BS1264" s="121"/>
      <c r="BT1264" s="121"/>
      <c r="BU1264" s="121"/>
      <c r="BV1264" s="121"/>
      <c r="BW1264" s="121"/>
      <c r="BX1264" s="121"/>
      <c r="BY1264" s="121"/>
      <c r="BZ1264" s="121"/>
      <c r="CA1264" s="121"/>
      <c r="CB1264" s="121"/>
      <c r="CC1264" s="121"/>
      <c r="CD1264" s="121"/>
      <c r="CE1264" s="121"/>
      <c r="CF1264" s="121"/>
      <c r="CG1264" s="121"/>
      <c r="CH1264" s="121"/>
    </row>
    <row r="1265" spans="1:86" s="122" customFormat="1" ht="24.4" customHeight="1" x14ac:dyDescent="0.2">
      <c r="A1265" s="1603">
        <v>11</v>
      </c>
      <c r="B1265" s="1644">
        <v>3399238</v>
      </c>
      <c r="C1265" s="1697" t="s">
        <v>1488</v>
      </c>
      <c r="D1265" s="2484">
        <v>4</v>
      </c>
      <c r="E1265" s="2485">
        <f>G1265/F1265*D1265</f>
        <v>18188.235294117647</v>
      </c>
      <c r="F1265" s="1550">
        <v>3.4</v>
      </c>
      <c r="G1265" s="2485">
        <v>15460</v>
      </c>
      <c r="H1265" s="73"/>
      <c r="I1265" s="73"/>
      <c r="J1265" s="73"/>
      <c r="K1265" s="73"/>
      <c r="L1265" s="73"/>
      <c r="M1265" s="73"/>
      <c r="N1265" s="73"/>
      <c r="O1265" s="73"/>
      <c r="P1265" s="73"/>
      <c r="Q1265" s="73"/>
      <c r="R1265" s="73"/>
      <c r="S1265" s="210"/>
      <c r="T1265" s="2353" t="s">
        <v>441</v>
      </c>
      <c r="U1265" s="2353" t="s">
        <v>1540</v>
      </c>
      <c r="V1265" s="2363" t="s">
        <v>1487</v>
      </c>
      <c r="W1265" s="794"/>
      <c r="X1265" s="67" t="s">
        <v>2</v>
      </c>
      <c r="Y1265" s="2489">
        <f>8810.24964</f>
        <v>8810.24964</v>
      </c>
      <c r="Z1265" s="2367" t="s">
        <v>441</v>
      </c>
      <c r="AA1265" s="2367" t="s">
        <v>1540</v>
      </c>
      <c r="AB1265" s="2365" t="s">
        <v>1487</v>
      </c>
      <c r="AC1265" s="795">
        <v>4.24</v>
      </c>
      <c r="AD1265" s="796" t="s">
        <v>2</v>
      </c>
      <c r="AE1265" s="2490">
        <v>20557.24915</v>
      </c>
      <c r="AF1265" s="64"/>
      <c r="AG1265" s="64"/>
      <c r="AH1265" s="627"/>
      <c r="AI1265" s="2488"/>
      <c r="AJ1265" s="67"/>
      <c r="AK1265" s="742"/>
      <c r="AL1265" s="382"/>
      <c r="AM1265" s="64"/>
      <c r="AN1265" s="65"/>
      <c r="AO1265" s="67"/>
      <c r="AP1265" s="67"/>
      <c r="AQ1265" s="68"/>
      <c r="AR1265" s="92"/>
      <c r="AS1265" s="121"/>
      <c r="AT1265" s="121"/>
      <c r="AU1265" s="121"/>
      <c r="AV1265" s="121"/>
      <c r="AW1265" s="121"/>
      <c r="AX1265" s="121"/>
      <c r="AY1265" s="121"/>
      <c r="AZ1265" s="121"/>
      <c r="BA1265" s="121"/>
      <c r="BB1265" s="121"/>
      <c r="BC1265" s="121"/>
      <c r="BD1265" s="121"/>
      <c r="BE1265" s="121"/>
      <c r="BF1265" s="121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21"/>
      <c r="BS1265" s="121"/>
      <c r="BT1265" s="121"/>
      <c r="BU1265" s="121"/>
      <c r="BV1265" s="121"/>
      <c r="BW1265" s="121"/>
      <c r="BX1265" s="121"/>
      <c r="BY1265" s="121"/>
      <c r="BZ1265" s="121"/>
      <c r="CA1265" s="121"/>
      <c r="CB1265" s="121"/>
      <c r="CC1265" s="121"/>
      <c r="CD1265" s="121"/>
      <c r="CE1265" s="121"/>
      <c r="CF1265" s="121"/>
      <c r="CG1265" s="121"/>
      <c r="CH1265" s="121"/>
    </row>
    <row r="1266" spans="1:86" s="122" customFormat="1" ht="24.4" customHeight="1" x14ac:dyDescent="0.2">
      <c r="A1266" s="1604"/>
      <c r="B1266" s="1506"/>
      <c r="C1266" s="1698"/>
      <c r="D1266" s="2486"/>
      <c r="E1266" s="2487"/>
      <c r="F1266" s="1551"/>
      <c r="G1266" s="2487"/>
      <c r="H1266" s="73"/>
      <c r="I1266" s="73"/>
      <c r="J1266" s="73"/>
      <c r="K1266" s="73"/>
      <c r="L1266" s="73"/>
      <c r="M1266" s="73"/>
      <c r="N1266" s="73"/>
      <c r="O1266" s="73"/>
      <c r="P1266" s="73"/>
      <c r="Q1266" s="73"/>
      <c r="R1266" s="73"/>
      <c r="S1266" s="210"/>
      <c r="T1266" s="2354"/>
      <c r="U1266" s="2354"/>
      <c r="V1266" s="2364"/>
      <c r="W1266" s="794"/>
      <c r="X1266" s="1105" t="s">
        <v>3</v>
      </c>
      <c r="Y1266" s="2491"/>
      <c r="Z1266" s="2368"/>
      <c r="AA1266" s="2368"/>
      <c r="AB1266" s="2366"/>
      <c r="AC1266" s="2570">
        <f>15460-4936</f>
        <v>10524</v>
      </c>
      <c r="AD1266" s="797" t="s">
        <v>3</v>
      </c>
      <c r="AE1266" s="2492"/>
      <c r="AF1266" s="64"/>
      <c r="AG1266" s="64"/>
      <c r="AH1266" s="627"/>
      <c r="AI1266" s="2488"/>
      <c r="AJ1266" s="67"/>
      <c r="AK1266" s="742"/>
      <c r="AL1266" s="382"/>
      <c r="AM1266" s="64"/>
      <c r="AN1266" s="65"/>
      <c r="AO1266" s="67"/>
      <c r="AP1266" s="67"/>
      <c r="AQ1266" s="68"/>
      <c r="AR1266" s="92"/>
      <c r="AS1266" s="121"/>
      <c r="AT1266" s="121"/>
      <c r="AU1266" s="121"/>
      <c r="AV1266" s="121"/>
      <c r="AW1266" s="121"/>
      <c r="AX1266" s="121"/>
      <c r="AY1266" s="121"/>
      <c r="AZ1266" s="121"/>
      <c r="BA1266" s="121"/>
      <c r="BB1266" s="121"/>
      <c r="BC1266" s="121"/>
      <c r="BD1266" s="121"/>
      <c r="BE1266" s="121"/>
      <c r="BF1266" s="121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21"/>
      <c r="BS1266" s="121"/>
      <c r="BT1266" s="121"/>
      <c r="BU1266" s="121"/>
      <c r="BV1266" s="121"/>
      <c r="BW1266" s="121"/>
      <c r="BX1266" s="121"/>
      <c r="BY1266" s="121"/>
      <c r="BZ1266" s="121"/>
      <c r="CA1266" s="121"/>
      <c r="CB1266" s="121"/>
      <c r="CC1266" s="121"/>
      <c r="CD1266" s="121"/>
      <c r="CE1266" s="121"/>
      <c r="CF1266" s="121"/>
      <c r="CG1266" s="121"/>
      <c r="CH1266" s="121"/>
    </row>
    <row r="1267" spans="1:86" s="122" customFormat="1" ht="31.5" customHeight="1" x14ac:dyDescent="0.2">
      <c r="A1267" s="1603">
        <v>12</v>
      </c>
      <c r="B1267" s="1644">
        <v>3399223</v>
      </c>
      <c r="C1267" s="1997" t="s">
        <v>556</v>
      </c>
      <c r="D1267" s="1550">
        <v>1.4</v>
      </c>
      <c r="E1267" s="1541">
        <v>18000</v>
      </c>
      <c r="F1267" s="1550">
        <v>1.4</v>
      </c>
      <c r="G1267" s="1541">
        <v>18000</v>
      </c>
      <c r="H1267" s="153"/>
      <c r="I1267" s="153"/>
      <c r="J1267" s="153"/>
      <c r="K1267" s="153"/>
      <c r="L1267" s="153"/>
      <c r="M1267" s="153"/>
      <c r="N1267" s="153"/>
      <c r="O1267" s="153"/>
      <c r="P1267" s="153"/>
      <c r="Q1267" s="153"/>
      <c r="R1267" s="153"/>
      <c r="S1267" s="207"/>
      <c r="T1267" s="153"/>
      <c r="U1267" s="153"/>
      <c r="V1267" s="153"/>
      <c r="W1267" s="1018"/>
      <c r="X1267" s="92"/>
      <c r="Y1267" s="155"/>
      <c r="Z1267" s="2383" t="s">
        <v>441</v>
      </c>
      <c r="AA1267" s="2383" t="s">
        <v>683</v>
      </c>
      <c r="AB1267" s="1487" t="s">
        <v>495</v>
      </c>
      <c r="AC1267" s="263">
        <v>1.4</v>
      </c>
      <c r="AD1267" s="988" t="s">
        <v>2</v>
      </c>
      <c r="AE1267" s="2384">
        <v>15344.3292</v>
      </c>
      <c r="AF1267" s="65"/>
      <c r="AG1267" s="65"/>
      <c r="AH1267" s="627"/>
      <c r="AI1267" s="263"/>
      <c r="AJ1267" s="988"/>
      <c r="AK1267" s="742"/>
      <c r="AL1267" s="1204"/>
      <c r="AM1267" s="1204"/>
      <c r="AN1267" s="1200"/>
      <c r="AO1267" s="1205"/>
      <c r="AP1267" s="1206"/>
      <c r="AQ1267" s="1207"/>
      <c r="AR1267" s="246"/>
      <c r="AS1267" s="121"/>
      <c r="AT1267" s="121"/>
      <c r="AU1267" s="121"/>
      <c r="AV1267" s="121"/>
      <c r="AW1267" s="121"/>
      <c r="AX1267" s="121"/>
      <c r="AY1267" s="121"/>
      <c r="AZ1267" s="121"/>
      <c r="BA1267" s="121"/>
      <c r="BB1267" s="121"/>
      <c r="BC1267" s="121"/>
      <c r="BD1267" s="121"/>
      <c r="BE1267" s="121"/>
      <c r="BF1267" s="121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21"/>
      <c r="BS1267" s="121"/>
      <c r="BT1267" s="121"/>
      <c r="BU1267" s="121"/>
      <c r="BV1267" s="121"/>
      <c r="BW1267" s="121"/>
      <c r="BX1267" s="121"/>
      <c r="BY1267" s="121"/>
      <c r="BZ1267" s="121"/>
      <c r="CA1267" s="121"/>
      <c r="CB1267" s="121"/>
      <c r="CC1267" s="121"/>
      <c r="CD1267" s="121"/>
      <c r="CE1267" s="121"/>
      <c r="CF1267" s="121"/>
      <c r="CG1267" s="121"/>
      <c r="CH1267" s="121"/>
    </row>
    <row r="1268" spans="1:86" s="122" customFormat="1" ht="22.5" customHeight="1" thickBot="1" x14ac:dyDescent="0.25">
      <c r="A1268" s="1604"/>
      <c r="B1268" s="1506"/>
      <c r="C1268" s="1998"/>
      <c r="D1268" s="1551"/>
      <c r="E1268" s="1542"/>
      <c r="F1268" s="1551"/>
      <c r="G1268" s="1542"/>
      <c r="H1268" s="153"/>
      <c r="I1268" s="153"/>
      <c r="J1268" s="153"/>
      <c r="K1268" s="153"/>
      <c r="L1268" s="153"/>
      <c r="M1268" s="153"/>
      <c r="N1268" s="153"/>
      <c r="O1268" s="153"/>
      <c r="P1268" s="153"/>
      <c r="Q1268" s="153"/>
      <c r="R1268" s="153"/>
      <c r="S1268" s="207"/>
      <c r="T1268" s="153"/>
      <c r="U1268" s="153"/>
      <c r="V1268" s="153"/>
      <c r="W1268" s="91"/>
      <c r="X1268" s="92"/>
      <c r="Y1268" s="155"/>
      <c r="Z1268" s="2383"/>
      <c r="AA1268" s="2383"/>
      <c r="AB1268" s="1487"/>
      <c r="AC1268" s="67"/>
      <c r="AD1268" s="988" t="s">
        <v>3</v>
      </c>
      <c r="AE1268" s="2384"/>
      <c r="AF1268" s="65"/>
      <c r="AG1268" s="65"/>
      <c r="AH1268" s="627"/>
      <c r="AI1268" s="67"/>
      <c r="AJ1268" s="988"/>
      <c r="AK1268" s="742"/>
      <c r="AL1268" s="1204"/>
      <c r="AM1268" s="1204"/>
      <c r="AN1268" s="1200"/>
      <c r="AO1268" s="1208"/>
      <c r="AP1268" s="1206"/>
      <c r="AQ1268" s="1207"/>
      <c r="AR1268" s="92"/>
      <c r="AS1268" s="121"/>
      <c r="AT1268" s="121"/>
      <c r="AU1268" s="121"/>
      <c r="AV1268" s="121"/>
      <c r="AW1268" s="121"/>
      <c r="AX1268" s="121"/>
      <c r="AY1268" s="121"/>
      <c r="AZ1268" s="121"/>
      <c r="BA1268" s="121"/>
      <c r="BB1268" s="121"/>
      <c r="BC1268" s="121"/>
      <c r="BD1268" s="121"/>
      <c r="BE1268" s="121"/>
      <c r="BF1268" s="121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21"/>
      <c r="BS1268" s="121"/>
      <c r="BT1268" s="121"/>
      <c r="BU1268" s="121"/>
      <c r="BV1268" s="121"/>
      <c r="BW1268" s="121"/>
      <c r="BX1268" s="121"/>
      <c r="BY1268" s="121"/>
      <c r="BZ1268" s="121"/>
      <c r="CA1268" s="121"/>
      <c r="CB1268" s="121"/>
      <c r="CC1268" s="121"/>
      <c r="CD1268" s="121"/>
      <c r="CE1268" s="121"/>
      <c r="CF1268" s="121"/>
      <c r="CG1268" s="121"/>
      <c r="CH1268" s="121"/>
    </row>
    <row r="1269" spans="1:86" s="122" customFormat="1" ht="21.75" hidden="1" customHeight="1" x14ac:dyDescent="0.2">
      <c r="A1269" s="1603">
        <v>12</v>
      </c>
      <c r="B1269" s="1644">
        <v>3399235</v>
      </c>
      <c r="C1269" s="1697" t="s">
        <v>557</v>
      </c>
      <c r="D1269" s="1550">
        <v>2.5</v>
      </c>
      <c r="E1269" s="1541">
        <v>11250</v>
      </c>
      <c r="F1269" s="1550">
        <v>1.5</v>
      </c>
      <c r="G1269" s="1541">
        <f>F1269*4500</f>
        <v>6750</v>
      </c>
      <c r="H1269" s="153"/>
      <c r="I1269" s="153"/>
      <c r="J1269" s="153"/>
      <c r="K1269" s="153"/>
      <c r="L1269" s="153"/>
      <c r="M1269" s="153"/>
      <c r="N1269" s="153"/>
      <c r="O1269" s="153"/>
      <c r="P1269" s="153"/>
      <c r="Q1269" s="153"/>
      <c r="R1269" s="153"/>
      <c r="S1269" s="207"/>
      <c r="T1269" s="153"/>
      <c r="U1269" s="153"/>
      <c r="V1269" s="153"/>
      <c r="W1269" s="91"/>
      <c r="X1269" s="92"/>
      <c r="Y1269" s="155"/>
      <c r="Z1269" s="153"/>
      <c r="AA1269" s="153"/>
      <c r="AB1269" s="153"/>
      <c r="AC1269" s="153"/>
      <c r="AD1269" s="92"/>
      <c r="AE1269" s="153"/>
      <c r="AF1269" s="92"/>
      <c r="AG1269" s="92"/>
      <c r="AH1269" s="92"/>
      <c r="AI1269" s="92"/>
      <c r="AJ1269" s="92"/>
      <c r="AK1269" s="92"/>
      <c r="AL1269" s="1483" t="s">
        <v>441</v>
      </c>
      <c r="AM1269" s="2219" t="s">
        <v>443</v>
      </c>
      <c r="AN1269" s="1999" t="s">
        <v>495</v>
      </c>
      <c r="AO1269" s="265"/>
      <c r="AP1269" s="1166" t="s">
        <v>2</v>
      </c>
      <c r="AQ1269" s="2379">
        <f>AO1269*8000</f>
        <v>0</v>
      </c>
      <c r="AR1269" s="295"/>
      <c r="AS1269" s="121"/>
      <c r="AT1269" s="121"/>
      <c r="AU1269" s="121"/>
      <c r="AV1269" s="121"/>
      <c r="AW1269" s="121"/>
      <c r="AX1269" s="121"/>
      <c r="AY1269" s="121"/>
      <c r="AZ1269" s="121"/>
      <c r="BA1269" s="121"/>
      <c r="BB1269" s="121"/>
      <c r="BC1269" s="121"/>
      <c r="BD1269" s="121"/>
      <c r="BE1269" s="121"/>
      <c r="BF1269" s="121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21"/>
      <c r="BS1269" s="121"/>
      <c r="BT1269" s="121"/>
      <c r="BU1269" s="121"/>
      <c r="BV1269" s="121"/>
      <c r="BW1269" s="121"/>
      <c r="BX1269" s="121"/>
      <c r="BY1269" s="121"/>
      <c r="BZ1269" s="121"/>
      <c r="CA1269" s="121"/>
      <c r="CB1269" s="121"/>
      <c r="CC1269" s="121"/>
      <c r="CD1269" s="121"/>
      <c r="CE1269" s="121"/>
      <c r="CF1269" s="121"/>
      <c r="CG1269" s="121"/>
      <c r="CH1269" s="121"/>
    </row>
    <row r="1270" spans="1:86" s="122" customFormat="1" ht="21.75" hidden="1" customHeight="1" thickBot="1" x14ac:dyDescent="0.25">
      <c r="A1270" s="1604"/>
      <c r="B1270" s="1506"/>
      <c r="C1270" s="1698"/>
      <c r="D1270" s="1551"/>
      <c r="E1270" s="1542"/>
      <c r="F1270" s="1551"/>
      <c r="G1270" s="1542"/>
      <c r="H1270" s="153"/>
      <c r="I1270" s="153"/>
      <c r="J1270" s="153"/>
      <c r="K1270" s="153"/>
      <c r="L1270" s="153"/>
      <c r="M1270" s="153"/>
      <c r="N1270" s="153"/>
      <c r="O1270" s="153"/>
      <c r="P1270" s="153"/>
      <c r="Q1270" s="153"/>
      <c r="R1270" s="153"/>
      <c r="S1270" s="207"/>
      <c r="T1270" s="153"/>
      <c r="U1270" s="153"/>
      <c r="V1270" s="153"/>
      <c r="W1270" s="91"/>
      <c r="X1270" s="92"/>
      <c r="Y1270" s="155"/>
      <c r="Z1270" s="153"/>
      <c r="AA1270" s="153"/>
      <c r="AB1270" s="153"/>
      <c r="AC1270" s="153"/>
      <c r="AD1270" s="153"/>
      <c r="AE1270" s="153"/>
      <c r="AF1270" s="153"/>
      <c r="AG1270" s="153"/>
      <c r="AH1270" s="153"/>
      <c r="AI1270" s="153"/>
      <c r="AJ1270" s="153"/>
      <c r="AK1270" s="153"/>
      <c r="AL1270" s="1484"/>
      <c r="AM1270" s="1484"/>
      <c r="AN1270" s="1485"/>
      <c r="AO1270" s="1167">
        <f>AO1269*4500</f>
        <v>0</v>
      </c>
      <c r="AP1270" s="1167" t="s">
        <v>3</v>
      </c>
      <c r="AQ1270" s="1990"/>
      <c r="AR1270" s="295"/>
      <c r="AS1270" s="121"/>
      <c r="AT1270" s="121"/>
      <c r="AU1270" s="121"/>
      <c r="AV1270" s="121"/>
      <c r="AW1270" s="121"/>
      <c r="AX1270" s="121"/>
      <c r="AY1270" s="121"/>
      <c r="AZ1270" s="121"/>
      <c r="BA1270" s="121"/>
      <c r="BB1270" s="121"/>
      <c r="BC1270" s="121"/>
      <c r="BD1270" s="121"/>
      <c r="BE1270" s="121"/>
      <c r="BF1270" s="121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21"/>
      <c r="BS1270" s="121"/>
      <c r="BT1270" s="121"/>
      <c r="BU1270" s="121"/>
      <c r="BV1270" s="121"/>
      <c r="BW1270" s="121"/>
      <c r="BX1270" s="121"/>
      <c r="BY1270" s="121"/>
      <c r="BZ1270" s="121"/>
      <c r="CA1270" s="121"/>
      <c r="CB1270" s="121"/>
      <c r="CC1270" s="121"/>
      <c r="CD1270" s="121"/>
      <c r="CE1270" s="121"/>
      <c r="CF1270" s="121"/>
      <c r="CG1270" s="121"/>
      <c r="CH1270" s="121"/>
    </row>
    <row r="1271" spans="1:86" s="122" customFormat="1" ht="18.600000000000001" customHeight="1" x14ac:dyDescent="0.2">
      <c r="A1271" s="1603">
        <v>13</v>
      </c>
      <c r="B1271" s="1644">
        <v>3399240</v>
      </c>
      <c r="C1271" s="1697" t="s">
        <v>543</v>
      </c>
      <c r="D1271" s="1550">
        <v>2.66</v>
      </c>
      <c r="E1271" s="1541">
        <v>13300</v>
      </c>
      <c r="F1271" s="1550">
        <v>2.66</v>
      </c>
      <c r="G1271" s="1541">
        <v>13300</v>
      </c>
      <c r="H1271" s="153"/>
      <c r="I1271" s="153"/>
      <c r="J1271" s="153"/>
      <c r="K1271" s="153"/>
      <c r="L1271" s="153"/>
      <c r="M1271" s="153"/>
      <c r="N1271" s="153"/>
      <c r="O1271" s="153"/>
      <c r="P1271" s="153"/>
      <c r="Q1271" s="153"/>
      <c r="R1271" s="153"/>
      <c r="S1271" s="207"/>
      <c r="T1271" s="153"/>
      <c r="U1271" s="153"/>
      <c r="V1271" s="153"/>
      <c r="W1271" s="91"/>
      <c r="X1271" s="92"/>
      <c r="Y1271" s="155"/>
      <c r="Z1271" s="153"/>
      <c r="AA1271" s="153"/>
      <c r="AB1271" s="153"/>
      <c r="AC1271" s="153"/>
      <c r="AD1271" s="153"/>
      <c r="AE1271" s="153"/>
      <c r="AF1271" s="1503" t="s">
        <v>441</v>
      </c>
      <c r="AG1271" s="1503" t="s">
        <v>534</v>
      </c>
      <c r="AH1271" s="1488" t="s">
        <v>495</v>
      </c>
      <c r="AI1271" s="261">
        <v>2</v>
      </c>
      <c r="AJ1271" s="262" t="s">
        <v>2</v>
      </c>
      <c r="AK1271" s="2493">
        <v>17000</v>
      </c>
      <c r="AL1271" s="65"/>
      <c r="AM1271" s="65"/>
      <c r="AN1271" s="627"/>
      <c r="AO1271" s="263"/>
      <c r="AP1271" s="988"/>
      <c r="AQ1271" s="742"/>
      <c r="AR1271" s="295"/>
      <c r="AS1271" s="121"/>
      <c r="AT1271" s="121"/>
      <c r="AU1271" s="121"/>
      <c r="AV1271" s="121"/>
      <c r="AW1271" s="121"/>
      <c r="AX1271" s="121"/>
      <c r="AY1271" s="121"/>
      <c r="AZ1271" s="121"/>
      <c r="BA1271" s="121"/>
      <c r="BB1271" s="121"/>
      <c r="BC1271" s="121"/>
      <c r="BD1271" s="121"/>
      <c r="BE1271" s="121"/>
      <c r="BF1271" s="121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21"/>
      <c r="BS1271" s="121"/>
      <c r="BT1271" s="121"/>
      <c r="BU1271" s="121"/>
      <c r="BV1271" s="121"/>
      <c r="BW1271" s="121"/>
      <c r="BX1271" s="121"/>
      <c r="BY1271" s="121"/>
      <c r="BZ1271" s="121"/>
      <c r="CA1271" s="121"/>
      <c r="CB1271" s="121"/>
      <c r="CC1271" s="121"/>
      <c r="CD1271" s="121"/>
      <c r="CE1271" s="121"/>
      <c r="CF1271" s="121"/>
      <c r="CG1271" s="121"/>
      <c r="CH1271" s="121"/>
    </row>
    <row r="1272" spans="1:86" s="122" customFormat="1" ht="21.75" customHeight="1" x14ac:dyDescent="0.2">
      <c r="A1272" s="1604"/>
      <c r="B1272" s="1506"/>
      <c r="C1272" s="1698"/>
      <c r="D1272" s="1551"/>
      <c r="E1272" s="1542"/>
      <c r="F1272" s="1551"/>
      <c r="G1272" s="1542"/>
      <c r="H1272" s="153"/>
      <c r="I1272" s="153"/>
      <c r="J1272" s="153"/>
      <c r="K1272" s="153"/>
      <c r="L1272" s="153"/>
      <c r="M1272" s="153"/>
      <c r="N1272" s="153"/>
      <c r="O1272" s="153"/>
      <c r="P1272" s="153"/>
      <c r="Q1272" s="153"/>
      <c r="R1272" s="153"/>
      <c r="S1272" s="207"/>
      <c r="T1272" s="153"/>
      <c r="U1272" s="153"/>
      <c r="V1272" s="153"/>
      <c r="W1272" s="91"/>
      <c r="X1272" s="92"/>
      <c r="Y1272" s="155"/>
      <c r="Z1272" s="153"/>
      <c r="AA1272" s="153"/>
      <c r="AB1272" s="153"/>
      <c r="AC1272" s="153"/>
      <c r="AD1272" s="153"/>
      <c r="AE1272" s="153"/>
      <c r="AF1272" s="1504"/>
      <c r="AG1272" s="1504"/>
      <c r="AH1272" s="1489"/>
      <c r="AI1272" s="262">
        <v>10000</v>
      </c>
      <c r="AJ1272" s="262" t="s">
        <v>3</v>
      </c>
      <c r="AK1272" s="2494"/>
      <c r="AL1272" s="65"/>
      <c r="AM1272" s="65"/>
      <c r="AN1272" s="627"/>
      <c r="AO1272" s="988"/>
      <c r="AP1272" s="988"/>
      <c r="AQ1272" s="742"/>
      <c r="AR1272" s="295"/>
      <c r="AS1272" s="121"/>
      <c r="AT1272" s="121"/>
      <c r="AU1272" s="121"/>
      <c r="AV1272" s="121"/>
      <c r="AW1272" s="121"/>
      <c r="AX1272" s="121"/>
      <c r="AY1272" s="121"/>
      <c r="AZ1272" s="121"/>
      <c r="BA1272" s="121"/>
      <c r="BB1272" s="121"/>
      <c r="BC1272" s="121"/>
      <c r="BD1272" s="121"/>
      <c r="BE1272" s="121"/>
      <c r="BF1272" s="121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21"/>
      <c r="BS1272" s="121"/>
      <c r="BT1272" s="121"/>
      <c r="BU1272" s="121"/>
      <c r="BV1272" s="121"/>
      <c r="BW1272" s="121"/>
      <c r="BX1272" s="121"/>
      <c r="BY1272" s="121"/>
      <c r="BZ1272" s="121"/>
      <c r="CA1272" s="121"/>
      <c r="CB1272" s="121"/>
      <c r="CC1272" s="121"/>
      <c r="CD1272" s="121"/>
      <c r="CE1272" s="121"/>
      <c r="CF1272" s="121"/>
      <c r="CG1272" s="121"/>
      <c r="CH1272" s="121"/>
    </row>
    <row r="1273" spans="1:86" s="122" customFormat="1" ht="21.75" customHeight="1" x14ac:dyDescent="0.2">
      <c r="A1273" s="1603">
        <v>14</v>
      </c>
      <c r="B1273" s="1644">
        <v>3399218</v>
      </c>
      <c r="C1273" s="1995" t="s">
        <v>544</v>
      </c>
      <c r="D1273" s="1550">
        <v>1.5</v>
      </c>
      <c r="E1273" s="1541">
        <v>7500</v>
      </c>
      <c r="F1273" s="1550">
        <v>0.5</v>
      </c>
      <c r="G1273" s="1541">
        <f>F1273*5000</f>
        <v>2500</v>
      </c>
      <c r="H1273" s="153"/>
      <c r="I1273" s="153"/>
      <c r="J1273" s="153"/>
      <c r="K1273" s="153"/>
      <c r="L1273" s="153"/>
      <c r="M1273" s="153"/>
      <c r="N1273" s="153"/>
      <c r="O1273" s="153"/>
      <c r="P1273" s="153"/>
      <c r="Q1273" s="153"/>
      <c r="R1273" s="153"/>
      <c r="S1273" s="207"/>
      <c r="T1273" s="153"/>
      <c r="U1273" s="153"/>
      <c r="V1273" s="153"/>
      <c r="W1273" s="91"/>
      <c r="X1273" s="92"/>
      <c r="Y1273" s="155"/>
      <c r="Z1273" s="153"/>
      <c r="AA1273" s="153"/>
      <c r="AB1273" s="153"/>
      <c r="AC1273" s="153"/>
      <c r="AD1273" s="153"/>
      <c r="AE1273" s="153"/>
      <c r="AF1273" s="153"/>
      <c r="AG1273" s="153"/>
      <c r="AH1273" s="153"/>
      <c r="AI1273" s="153"/>
      <c r="AJ1273" s="153"/>
      <c r="AK1273" s="153"/>
      <c r="AL1273" s="1484" t="s">
        <v>441</v>
      </c>
      <c r="AM1273" s="1484" t="s">
        <v>489</v>
      </c>
      <c r="AN1273" s="1485" t="s">
        <v>495</v>
      </c>
      <c r="AO1273" s="265">
        <v>0.48</v>
      </c>
      <c r="AP1273" s="1166" t="s">
        <v>2</v>
      </c>
      <c r="AQ1273" s="1990">
        <v>4000</v>
      </c>
      <c r="AR1273" s="295"/>
      <c r="AS1273" s="121"/>
      <c r="AT1273" s="121"/>
      <c r="AU1273" s="121"/>
      <c r="AV1273" s="121"/>
      <c r="AW1273" s="121"/>
      <c r="AX1273" s="121"/>
      <c r="AY1273" s="121"/>
      <c r="AZ1273" s="121"/>
      <c r="BA1273" s="121"/>
      <c r="BB1273" s="121"/>
      <c r="BC1273" s="121"/>
      <c r="BD1273" s="121"/>
      <c r="BE1273" s="121"/>
      <c r="BF1273" s="121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21"/>
      <c r="BS1273" s="121"/>
      <c r="BT1273" s="121"/>
      <c r="BU1273" s="121"/>
      <c r="BV1273" s="121"/>
      <c r="BW1273" s="121"/>
      <c r="BX1273" s="121"/>
      <c r="BY1273" s="121"/>
      <c r="BZ1273" s="121"/>
      <c r="CA1273" s="121"/>
      <c r="CB1273" s="121"/>
      <c r="CC1273" s="121"/>
      <c r="CD1273" s="121"/>
      <c r="CE1273" s="121"/>
      <c r="CF1273" s="121"/>
      <c r="CG1273" s="121"/>
      <c r="CH1273" s="121"/>
    </row>
    <row r="1274" spans="1:86" s="122" customFormat="1" ht="21.75" customHeight="1" thickBot="1" x14ac:dyDescent="0.25">
      <c r="A1274" s="1604"/>
      <c r="B1274" s="1506"/>
      <c r="C1274" s="1996"/>
      <c r="D1274" s="1553"/>
      <c r="E1274" s="1552"/>
      <c r="F1274" s="1553"/>
      <c r="G1274" s="1552"/>
      <c r="H1274" s="153"/>
      <c r="I1274" s="153"/>
      <c r="J1274" s="153"/>
      <c r="K1274" s="153"/>
      <c r="L1274" s="153"/>
      <c r="M1274" s="153"/>
      <c r="N1274" s="153"/>
      <c r="O1274" s="153"/>
      <c r="P1274" s="153"/>
      <c r="Q1274" s="153"/>
      <c r="R1274" s="153"/>
      <c r="S1274" s="207"/>
      <c r="T1274" s="153"/>
      <c r="U1274" s="153"/>
      <c r="V1274" s="153"/>
      <c r="W1274" s="91"/>
      <c r="X1274" s="92"/>
      <c r="Y1274" s="155"/>
      <c r="Z1274" s="153"/>
      <c r="AA1274" s="153"/>
      <c r="AB1274" s="153"/>
      <c r="AC1274" s="153"/>
      <c r="AD1274" s="153"/>
      <c r="AE1274" s="153"/>
      <c r="AF1274" s="153"/>
      <c r="AG1274" s="153"/>
      <c r="AH1274" s="153"/>
      <c r="AI1274" s="153"/>
      <c r="AJ1274" s="153"/>
      <c r="AK1274" s="153"/>
      <c r="AL1274" s="1504"/>
      <c r="AM1274" s="1504"/>
      <c r="AN1274" s="1489"/>
      <c r="AO1274" s="262">
        <f>G1273/F1273*AO1273</f>
        <v>2400</v>
      </c>
      <c r="AP1274" s="262" t="s">
        <v>3</v>
      </c>
      <c r="AQ1274" s="1991"/>
      <c r="AR1274" s="295"/>
      <c r="AS1274" s="121"/>
      <c r="AT1274" s="121"/>
      <c r="AU1274" s="121"/>
      <c r="AV1274" s="121"/>
      <c r="AW1274" s="121"/>
      <c r="AX1274" s="121"/>
      <c r="AY1274" s="121"/>
      <c r="AZ1274" s="121"/>
      <c r="BA1274" s="121"/>
      <c r="BB1274" s="121"/>
      <c r="BC1274" s="121"/>
      <c r="BD1274" s="121"/>
      <c r="BE1274" s="121"/>
      <c r="BF1274" s="121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21"/>
      <c r="BS1274" s="121"/>
      <c r="BT1274" s="121"/>
      <c r="BU1274" s="121"/>
      <c r="BV1274" s="121"/>
      <c r="BW1274" s="121"/>
      <c r="BX1274" s="121"/>
      <c r="BY1274" s="121"/>
      <c r="BZ1274" s="121"/>
      <c r="CA1274" s="121"/>
      <c r="CB1274" s="121"/>
      <c r="CC1274" s="121"/>
      <c r="CD1274" s="121"/>
      <c r="CE1274" s="121"/>
      <c r="CF1274" s="121"/>
      <c r="CG1274" s="121"/>
      <c r="CH1274" s="121"/>
    </row>
    <row r="1275" spans="1:86" s="122" customFormat="1" ht="21.75" customHeight="1" x14ac:dyDescent="0.2">
      <c r="A1275" s="1603">
        <v>15</v>
      </c>
      <c r="B1275" s="1656">
        <v>3399245</v>
      </c>
      <c r="C1275" s="1992" t="s">
        <v>575</v>
      </c>
      <c r="D1275" s="1797">
        <v>3.3</v>
      </c>
      <c r="E1275" s="1696">
        <v>16500</v>
      </c>
      <c r="F1275" s="1797">
        <v>1.7</v>
      </c>
      <c r="G1275" s="1696">
        <f>F1275*5000</f>
        <v>8500</v>
      </c>
      <c r="H1275" s="153"/>
      <c r="I1275" s="153"/>
      <c r="J1275" s="153"/>
      <c r="K1275" s="153"/>
      <c r="L1275" s="153"/>
      <c r="M1275" s="153"/>
      <c r="N1275" s="153"/>
      <c r="O1275" s="153"/>
      <c r="P1275" s="153"/>
      <c r="Q1275" s="153"/>
      <c r="R1275" s="153"/>
      <c r="S1275" s="207"/>
      <c r="T1275" s="153"/>
      <c r="U1275" s="153"/>
      <c r="V1275" s="153"/>
      <c r="W1275" s="91"/>
      <c r="X1275" s="92"/>
      <c r="Y1275" s="155"/>
      <c r="Z1275" s="153"/>
      <c r="AA1275" s="153"/>
      <c r="AB1275" s="153"/>
      <c r="AC1275" s="153"/>
      <c r="AD1275" s="153"/>
      <c r="AE1275" s="153"/>
      <c r="AF1275" s="153"/>
      <c r="AG1275" s="153"/>
      <c r="AH1275" s="153"/>
      <c r="AI1275" s="153"/>
      <c r="AJ1275" s="153"/>
      <c r="AK1275" s="153"/>
      <c r="AL1275" s="2376" t="s">
        <v>441</v>
      </c>
      <c r="AM1275" s="2374" t="s">
        <v>532</v>
      </c>
      <c r="AN1275" s="1488" t="s">
        <v>495</v>
      </c>
      <c r="AO1275" s="70">
        <v>1.2</v>
      </c>
      <c r="AP1275" s="69" t="s">
        <v>2</v>
      </c>
      <c r="AQ1275" s="2378">
        <f>8400*2</f>
        <v>16800</v>
      </c>
      <c r="AR1275" s="153"/>
      <c r="AS1275" s="121"/>
      <c r="AT1275" s="121"/>
      <c r="AU1275" s="121"/>
      <c r="AV1275" s="121"/>
      <c r="AW1275" s="121"/>
      <c r="AX1275" s="121"/>
      <c r="AY1275" s="121"/>
      <c r="AZ1275" s="121"/>
      <c r="BA1275" s="121"/>
      <c r="BB1275" s="121"/>
      <c r="BC1275" s="121"/>
      <c r="BD1275" s="121"/>
      <c r="BE1275" s="121"/>
      <c r="BF1275" s="121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21"/>
      <c r="BS1275" s="121"/>
      <c r="BT1275" s="121"/>
      <c r="BU1275" s="121"/>
      <c r="BV1275" s="121"/>
      <c r="BW1275" s="121"/>
      <c r="BX1275" s="121"/>
      <c r="BY1275" s="121"/>
      <c r="BZ1275" s="121"/>
      <c r="CA1275" s="121"/>
      <c r="CB1275" s="121"/>
      <c r="CC1275" s="121"/>
      <c r="CD1275" s="121"/>
      <c r="CE1275" s="121"/>
      <c r="CF1275" s="121"/>
      <c r="CG1275" s="121"/>
      <c r="CH1275" s="121"/>
    </row>
    <row r="1276" spans="1:86" s="122" customFormat="1" ht="21.75" customHeight="1" thickBot="1" x14ac:dyDescent="0.25">
      <c r="A1276" s="1604"/>
      <c r="B1276" s="1657"/>
      <c r="C1276" s="1812"/>
      <c r="D1276" s="1797"/>
      <c r="E1276" s="1696"/>
      <c r="F1276" s="1797"/>
      <c r="G1276" s="1696"/>
      <c r="H1276" s="153"/>
      <c r="I1276" s="153"/>
      <c r="J1276" s="153"/>
      <c r="K1276" s="153"/>
      <c r="L1276" s="153"/>
      <c r="M1276" s="153"/>
      <c r="N1276" s="153"/>
      <c r="O1276" s="153"/>
      <c r="P1276" s="153"/>
      <c r="Q1276" s="153"/>
      <c r="R1276" s="153"/>
      <c r="S1276" s="207"/>
      <c r="T1276" s="153"/>
      <c r="U1276" s="153"/>
      <c r="V1276" s="153"/>
      <c r="W1276" s="91"/>
      <c r="X1276" s="92"/>
      <c r="Y1276" s="155"/>
      <c r="Z1276" s="153"/>
      <c r="AA1276" s="153"/>
      <c r="AB1276" s="153"/>
      <c r="AC1276" s="153"/>
      <c r="AD1276" s="153"/>
      <c r="AE1276" s="153"/>
      <c r="AF1276" s="153"/>
      <c r="AG1276" s="153"/>
      <c r="AH1276" s="153"/>
      <c r="AI1276" s="153"/>
      <c r="AJ1276" s="153"/>
      <c r="AK1276" s="153"/>
      <c r="AL1276" s="2377"/>
      <c r="AM1276" s="2375"/>
      <c r="AN1276" s="1485"/>
      <c r="AO1276" s="745">
        <f>AO1275*5000</f>
        <v>6000</v>
      </c>
      <c r="AP1276" s="1024" t="s">
        <v>3</v>
      </c>
      <c r="AQ1276" s="1990"/>
      <c r="AR1276" s="295"/>
      <c r="AS1276" s="121"/>
      <c r="AT1276" s="121"/>
      <c r="AU1276" s="121"/>
      <c r="AV1276" s="121"/>
      <c r="AW1276" s="121"/>
      <c r="AX1276" s="121"/>
      <c r="AY1276" s="121"/>
      <c r="AZ1276" s="121"/>
      <c r="BA1276" s="121"/>
      <c r="BB1276" s="121"/>
      <c r="BC1276" s="121"/>
      <c r="BD1276" s="121"/>
      <c r="BE1276" s="121"/>
      <c r="BF1276" s="121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21"/>
      <c r="BS1276" s="121"/>
      <c r="BT1276" s="121"/>
      <c r="BU1276" s="121"/>
      <c r="BV1276" s="121"/>
      <c r="BW1276" s="121"/>
      <c r="BX1276" s="121"/>
      <c r="BY1276" s="121"/>
      <c r="BZ1276" s="121"/>
      <c r="CA1276" s="121"/>
      <c r="CB1276" s="121"/>
      <c r="CC1276" s="121"/>
      <c r="CD1276" s="121"/>
      <c r="CE1276" s="121"/>
      <c r="CF1276" s="121"/>
      <c r="CG1276" s="121"/>
      <c r="CH1276" s="121"/>
    </row>
    <row r="1277" spans="1:86" s="122" customFormat="1" ht="21.75" customHeight="1" x14ac:dyDescent="0.2">
      <c r="A1277" s="1603">
        <v>16</v>
      </c>
      <c r="B1277" s="1656">
        <v>3399219</v>
      </c>
      <c r="C1277" s="1811" t="s">
        <v>576</v>
      </c>
      <c r="D1277" s="1797">
        <v>2.5</v>
      </c>
      <c r="E1277" s="1696">
        <v>12500</v>
      </c>
      <c r="F1277" s="1797">
        <v>1.94</v>
      </c>
      <c r="G1277" s="1696">
        <f>F1277*5000</f>
        <v>9700</v>
      </c>
      <c r="H1277" s="153"/>
      <c r="I1277" s="153"/>
      <c r="J1277" s="153"/>
      <c r="K1277" s="153"/>
      <c r="L1277" s="153"/>
      <c r="M1277" s="153"/>
      <c r="N1277" s="153"/>
      <c r="O1277" s="153"/>
      <c r="P1277" s="153"/>
      <c r="Q1277" s="153"/>
      <c r="R1277" s="153"/>
      <c r="S1277" s="207"/>
      <c r="T1277" s="153"/>
      <c r="U1277" s="153"/>
      <c r="V1277" s="153"/>
      <c r="W1277" s="91"/>
      <c r="X1277" s="92"/>
      <c r="Y1277" s="155"/>
      <c r="Z1277" s="153"/>
      <c r="AA1277" s="153"/>
      <c r="AB1277" s="153"/>
      <c r="AC1277" s="153"/>
      <c r="AD1277" s="153"/>
      <c r="AE1277" s="153"/>
      <c r="AF1277" s="1492" t="s">
        <v>441</v>
      </c>
      <c r="AG1277" s="1490" t="s">
        <v>1512</v>
      </c>
      <c r="AH1277" s="1488" t="s">
        <v>495</v>
      </c>
      <c r="AI1277" s="70">
        <v>1.94</v>
      </c>
      <c r="AJ1277" s="69" t="s">
        <v>2</v>
      </c>
      <c r="AK1277" s="2493">
        <v>17000</v>
      </c>
      <c r="AL1277" s="990"/>
      <c r="AM1277" s="990"/>
      <c r="AN1277" s="627"/>
      <c r="AO1277" s="78"/>
      <c r="AP1277" s="990"/>
      <c r="AQ1277" s="742"/>
      <c r="AR1277" s="295"/>
      <c r="AS1277" s="121"/>
      <c r="AT1277" s="121"/>
      <c r="AU1277" s="121"/>
      <c r="AV1277" s="121"/>
      <c r="AW1277" s="121"/>
      <c r="AX1277" s="121"/>
      <c r="AY1277" s="121"/>
      <c r="AZ1277" s="121"/>
      <c r="BA1277" s="121"/>
      <c r="BB1277" s="121"/>
      <c r="BC1277" s="121"/>
      <c r="BD1277" s="121"/>
      <c r="BE1277" s="121"/>
      <c r="BF1277" s="121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21"/>
      <c r="BS1277" s="121"/>
      <c r="BT1277" s="121"/>
      <c r="BU1277" s="121"/>
      <c r="BV1277" s="121"/>
      <c r="BW1277" s="121"/>
      <c r="BX1277" s="121"/>
      <c r="BY1277" s="121"/>
      <c r="BZ1277" s="121"/>
      <c r="CA1277" s="121"/>
      <c r="CB1277" s="121"/>
      <c r="CC1277" s="121"/>
      <c r="CD1277" s="121"/>
      <c r="CE1277" s="121"/>
      <c r="CF1277" s="121"/>
      <c r="CG1277" s="121"/>
      <c r="CH1277" s="121"/>
    </row>
    <row r="1278" spans="1:86" s="122" customFormat="1" ht="21.75" customHeight="1" thickBot="1" x14ac:dyDescent="0.25">
      <c r="A1278" s="1604"/>
      <c r="B1278" s="1657"/>
      <c r="C1278" s="1812"/>
      <c r="D1278" s="1797"/>
      <c r="E1278" s="1696"/>
      <c r="F1278" s="1797"/>
      <c r="G1278" s="1696"/>
      <c r="H1278" s="153"/>
      <c r="I1278" s="153"/>
      <c r="J1278" s="153"/>
      <c r="K1278" s="153"/>
      <c r="L1278" s="153"/>
      <c r="M1278" s="153"/>
      <c r="N1278" s="153"/>
      <c r="O1278" s="153"/>
      <c r="P1278" s="153"/>
      <c r="Q1278" s="153"/>
      <c r="R1278" s="153"/>
      <c r="S1278" s="207"/>
      <c r="T1278" s="153"/>
      <c r="U1278" s="153"/>
      <c r="V1278" s="153"/>
      <c r="W1278" s="91"/>
      <c r="X1278" s="92"/>
      <c r="Y1278" s="155"/>
      <c r="Z1278" s="153"/>
      <c r="AA1278" s="153"/>
      <c r="AB1278" s="153"/>
      <c r="AC1278" s="153"/>
      <c r="AD1278" s="153"/>
      <c r="AE1278" s="153"/>
      <c r="AF1278" s="1493"/>
      <c r="AG1278" s="1491"/>
      <c r="AH1278" s="1489"/>
      <c r="AI1278" s="72">
        <v>9700</v>
      </c>
      <c r="AJ1278" s="69" t="s">
        <v>3</v>
      </c>
      <c r="AK1278" s="2494"/>
      <c r="AL1278" s="990"/>
      <c r="AM1278" s="990"/>
      <c r="AN1278" s="627"/>
      <c r="AO1278" s="747"/>
      <c r="AP1278" s="990"/>
      <c r="AQ1278" s="742"/>
      <c r="AR1278" s="295"/>
      <c r="AS1278" s="121"/>
      <c r="AT1278" s="121"/>
      <c r="AU1278" s="121"/>
      <c r="AV1278" s="121"/>
      <c r="AW1278" s="121"/>
      <c r="AX1278" s="121"/>
      <c r="AY1278" s="121"/>
      <c r="AZ1278" s="121"/>
      <c r="BA1278" s="121"/>
      <c r="BB1278" s="121"/>
      <c r="BC1278" s="121"/>
      <c r="BD1278" s="121"/>
      <c r="BE1278" s="121"/>
      <c r="BF1278" s="121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21"/>
      <c r="BS1278" s="121"/>
      <c r="BT1278" s="121"/>
      <c r="BU1278" s="121"/>
      <c r="BV1278" s="121"/>
      <c r="BW1278" s="121"/>
      <c r="BX1278" s="121"/>
      <c r="BY1278" s="121"/>
      <c r="BZ1278" s="121"/>
      <c r="CA1278" s="121"/>
      <c r="CB1278" s="121"/>
      <c r="CC1278" s="121"/>
      <c r="CD1278" s="121"/>
      <c r="CE1278" s="121"/>
      <c r="CF1278" s="121"/>
      <c r="CG1278" s="121"/>
      <c r="CH1278" s="121"/>
    </row>
    <row r="1279" spans="1:86" s="122" customFormat="1" ht="31.5" hidden="1" customHeight="1" x14ac:dyDescent="0.2">
      <c r="A1279" s="1603">
        <v>22</v>
      </c>
      <c r="B1279" s="1656">
        <v>3399239</v>
      </c>
      <c r="C1279" s="1811" t="s">
        <v>577</v>
      </c>
      <c r="D1279" s="1797">
        <v>2.4</v>
      </c>
      <c r="E1279" s="1696">
        <v>12000</v>
      </c>
      <c r="F1279" s="1797">
        <v>1</v>
      </c>
      <c r="G1279" s="1696">
        <v>5000</v>
      </c>
      <c r="H1279" s="153"/>
      <c r="I1279" s="153"/>
      <c r="J1279" s="153"/>
      <c r="K1279" s="153"/>
      <c r="L1279" s="153"/>
      <c r="M1279" s="153"/>
      <c r="N1279" s="153"/>
      <c r="O1279" s="153"/>
      <c r="P1279" s="153"/>
      <c r="Q1279" s="153"/>
      <c r="R1279" s="153"/>
      <c r="S1279" s="207"/>
      <c r="T1279" s="153"/>
      <c r="U1279" s="153"/>
      <c r="V1279" s="153"/>
      <c r="W1279" s="91"/>
      <c r="X1279" s="92"/>
      <c r="Y1279" s="155"/>
      <c r="Z1279" s="153"/>
      <c r="AA1279" s="153"/>
      <c r="AB1279" s="153"/>
      <c r="AC1279" s="153"/>
      <c r="AD1279" s="153"/>
      <c r="AE1279" s="153"/>
      <c r="AF1279" s="153"/>
      <c r="AG1279" s="153"/>
      <c r="AH1279" s="153"/>
      <c r="AI1279" s="153"/>
      <c r="AJ1279" s="153"/>
      <c r="AK1279" s="153"/>
      <c r="AL1279" s="1023" t="s">
        <v>441</v>
      </c>
      <c r="AM1279" s="1023" t="s">
        <v>531</v>
      </c>
      <c r="AN1279" s="1485" t="s">
        <v>495</v>
      </c>
      <c r="AO1279" s="746"/>
      <c r="AP1279" s="1023" t="s">
        <v>2</v>
      </c>
      <c r="AQ1279" s="1990"/>
      <c r="AR1279" s="295"/>
      <c r="AS1279" s="121"/>
      <c r="AT1279" s="121"/>
      <c r="AU1279" s="121"/>
      <c r="AV1279" s="121"/>
      <c r="AW1279" s="121"/>
      <c r="AX1279" s="121"/>
      <c r="AY1279" s="121"/>
      <c r="AZ1279" s="121"/>
      <c r="BA1279" s="121"/>
      <c r="BB1279" s="121"/>
      <c r="BC1279" s="121"/>
      <c r="BD1279" s="121"/>
      <c r="BE1279" s="121"/>
      <c r="BF1279" s="121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21"/>
      <c r="BS1279" s="121"/>
      <c r="BT1279" s="121"/>
      <c r="BU1279" s="121"/>
      <c r="BV1279" s="121"/>
      <c r="BW1279" s="121"/>
      <c r="BX1279" s="121"/>
      <c r="BY1279" s="121"/>
      <c r="BZ1279" s="121"/>
      <c r="CA1279" s="121"/>
      <c r="CB1279" s="121"/>
      <c r="CC1279" s="121"/>
      <c r="CD1279" s="121"/>
      <c r="CE1279" s="121"/>
      <c r="CF1279" s="121"/>
      <c r="CG1279" s="121"/>
      <c r="CH1279" s="121"/>
    </row>
    <row r="1280" spans="1:86" s="122" customFormat="1" ht="21.75" hidden="1" customHeight="1" thickBot="1" x14ac:dyDescent="0.25">
      <c r="A1280" s="1604"/>
      <c r="B1280" s="1657"/>
      <c r="C1280" s="1812"/>
      <c r="D1280" s="1797"/>
      <c r="E1280" s="1696"/>
      <c r="F1280" s="1797"/>
      <c r="G1280" s="1696"/>
      <c r="H1280" s="153"/>
      <c r="I1280" s="153"/>
      <c r="J1280" s="153"/>
      <c r="K1280" s="153"/>
      <c r="L1280" s="153"/>
      <c r="M1280" s="153"/>
      <c r="N1280" s="153"/>
      <c r="O1280" s="153"/>
      <c r="P1280" s="153"/>
      <c r="Q1280" s="153"/>
      <c r="R1280" s="153"/>
      <c r="S1280" s="207"/>
      <c r="T1280" s="153"/>
      <c r="U1280" s="153"/>
      <c r="V1280" s="153"/>
      <c r="W1280" s="91"/>
      <c r="X1280" s="92"/>
      <c r="Y1280" s="155"/>
      <c r="Z1280" s="153"/>
      <c r="AA1280" s="153"/>
      <c r="AB1280" s="153"/>
      <c r="AC1280" s="153"/>
      <c r="AD1280" s="153"/>
      <c r="AE1280" s="153"/>
      <c r="AF1280" s="153"/>
      <c r="AG1280" s="153"/>
      <c r="AH1280" s="153"/>
      <c r="AI1280" s="153"/>
      <c r="AJ1280" s="153"/>
      <c r="AK1280" s="153"/>
      <c r="AL1280" s="69"/>
      <c r="AM1280" s="69"/>
      <c r="AN1280" s="1489"/>
      <c r="AO1280" s="72">
        <f>AO1279*5000</f>
        <v>0</v>
      </c>
      <c r="AP1280" s="69" t="s">
        <v>3</v>
      </c>
      <c r="AQ1280" s="1991"/>
      <c r="AR1280" s="295"/>
      <c r="AS1280" s="121"/>
      <c r="AT1280" s="121"/>
      <c r="AU1280" s="121"/>
      <c r="AV1280" s="121"/>
      <c r="AW1280" s="121"/>
      <c r="AX1280" s="121"/>
      <c r="AY1280" s="121"/>
      <c r="AZ1280" s="121"/>
      <c r="BA1280" s="121"/>
      <c r="BB1280" s="121"/>
      <c r="BC1280" s="121"/>
      <c r="BD1280" s="121"/>
      <c r="BE1280" s="121"/>
      <c r="BF1280" s="121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21"/>
      <c r="BS1280" s="121"/>
      <c r="BT1280" s="121"/>
      <c r="BU1280" s="121"/>
      <c r="BV1280" s="121"/>
      <c r="BW1280" s="121"/>
      <c r="BX1280" s="121"/>
      <c r="BY1280" s="121"/>
      <c r="BZ1280" s="121"/>
      <c r="CA1280" s="121"/>
      <c r="CB1280" s="121"/>
      <c r="CC1280" s="121"/>
      <c r="CD1280" s="121"/>
      <c r="CE1280" s="121"/>
      <c r="CF1280" s="121"/>
      <c r="CG1280" s="121"/>
      <c r="CH1280" s="121"/>
    </row>
    <row r="1281" spans="1:86" s="122" customFormat="1" ht="21.75" hidden="1" customHeight="1" x14ac:dyDescent="0.2">
      <c r="A1281" s="1603"/>
      <c r="B1281" s="1656">
        <v>3399220</v>
      </c>
      <c r="C1281" s="1811" t="s">
        <v>578</v>
      </c>
      <c r="D1281" s="1797"/>
      <c r="E1281" s="1696"/>
      <c r="F1281" s="1797"/>
      <c r="G1281" s="1696"/>
      <c r="H1281" s="153"/>
      <c r="I1281" s="153"/>
      <c r="J1281" s="153"/>
      <c r="K1281" s="153"/>
      <c r="L1281" s="153"/>
      <c r="M1281" s="153"/>
      <c r="N1281" s="153"/>
      <c r="O1281" s="153"/>
      <c r="P1281" s="153"/>
      <c r="Q1281" s="153"/>
      <c r="R1281" s="153"/>
      <c r="S1281" s="207"/>
      <c r="T1281" s="153"/>
      <c r="U1281" s="153"/>
      <c r="V1281" s="153"/>
      <c r="W1281" s="91"/>
      <c r="X1281" s="92"/>
      <c r="Y1281" s="155"/>
      <c r="Z1281" s="153"/>
      <c r="AA1281" s="153"/>
      <c r="AB1281" s="153"/>
      <c r="AC1281" s="153"/>
      <c r="AD1281" s="153"/>
      <c r="AE1281" s="153"/>
      <c r="AF1281" s="153"/>
      <c r="AG1281" s="153"/>
      <c r="AH1281" s="153"/>
      <c r="AI1281" s="153"/>
      <c r="AJ1281" s="153"/>
      <c r="AK1281" s="153"/>
      <c r="AL1281" s="69" t="s">
        <v>441</v>
      </c>
      <c r="AM1281" s="69" t="s">
        <v>683</v>
      </c>
      <c r="AN1281" s="1488" t="s">
        <v>495</v>
      </c>
      <c r="AO1281" s="70"/>
      <c r="AP1281" s="69" t="s">
        <v>2</v>
      </c>
      <c r="AQ1281" s="2378"/>
      <c r="AR1281" s="295"/>
      <c r="AS1281" s="121"/>
      <c r="AT1281" s="121"/>
      <c r="AU1281" s="121"/>
      <c r="AV1281" s="121"/>
      <c r="AW1281" s="121"/>
      <c r="AX1281" s="121"/>
      <c r="AY1281" s="121"/>
      <c r="AZ1281" s="121"/>
      <c r="BA1281" s="121"/>
      <c r="BB1281" s="121"/>
      <c r="BC1281" s="121"/>
      <c r="BD1281" s="121"/>
      <c r="BE1281" s="121"/>
      <c r="BF1281" s="121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21"/>
      <c r="BS1281" s="121"/>
      <c r="BT1281" s="121"/>
      <c r="BU1281" s="121"/>
      <c r="BV1281" s="121"/>
      <c r="BW1281" s="121"/>
      <c r="BX1281" s="121"/>
      <c r="BY1281" s="121"/>
      <c r="BZ1281" s="121"/>
      <c r="CA1281" s="121"/>
      <c r="CB1281" s="121"/>
      <c r="CC1281" s="121"/>
      <c r="CD1281" s="121"/>
      <c r="CE1281" s="121"/>
      <c r="CF1281" s="121"/>
      <c r="CG1281" s="121"/>
      <c r="CH1281" s="121"/>
    </row>
    <row r="1282" spans="1:86" s="122" customFormat="1" ht="21.75" hidden="1" customHeight="1" thickBot="1" x14ac:dyDescent="0.25">
      <c r="A1282" s="1604"/>
      <c r="B1282" s="1657"/>
      <c r="C1282" s="1812"/>
      <c r="D1282" s="1797"/>
      <c r="E1282" s="1696"/>
      <c r="F1282" s="1797"/>
      <c r="G1282" s="1696"/>
      <c r="H1282" s="153"/>
      <c r="I1282" s="153"/>
      <c r="J1282" s="153"/>
      <c r="K1282" s="153"/>
      <c r="L1282" s="153"/>
      <c r="M1282" s="153"/>
      <c r="N1282" s="153"/>
      <c r="O1282" s="153"/>
      <c r="P1282" s="153"/>
      <c r="Q1282" s="153"/>
      <c r="R1282" s="153"/>
      <c r="S1282" s="207"/>
      <c r="T1282" s="153"/>
      <c r="U1282" s="153"/>
      <c r="V1282" s="153"/>
      <c r="W1282" s="91"/>
      <c r="X1282" s="92"/>
      <c r="Y1282" s="155"/>
      <c r="Z1282" s="153"/>
      <c r="AA1282" s="153"/>
      <c r="AB1282" s="153"/>
      <c r="AC1282" s="153"/>
      <c r="AD1282" s="153"/>
      <c r="AE1282" s="153"/>
      <c r="AF1282" s="153"/>
      <c r="AG1282" s="153"/>
      <c r="AH1282" s="153"/>
      <c r="AI1282" s="153"/>
      <c r="AJ1282" s="153"/>
      <c r="AK1282" s="153"/>
      <c r="AL1282" s="69"/>
      <c r="AM1282" s="69"/>
      <c r="AN1282" s="1489"/>
      <c r="AO1282" s="72">
        <v>6300</v>
      </c>
      <c r="AP1282" s="69" t="s">
        <v>3</v>
      </c>
      <c r="AQ1282" s="1991"/>
      <c r="AR1282" s="295"/>
      <c r="AS1282" s="121"/>
      <c r="AT1282" s="121"/>
      <c r="AU1282" s="121"/>
      <c r="AV1282" s="121"/>
      <c r="AW1282" s="121"/>
      <c r="AX1282" s="121"/>
      <c r="AY1282" s="121"/>
      <c r="AZ1282" s="121"/>
      <c r="BA1282" s="121"/>
      <c r="BB1282" s="121"/>
      <c r="BC1282" s="121"/>
      <c r="BD1282" s="121"/>
      <c r="BE1282" s="121"/>
      <c r="BF1282" s="121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21"/>
      <c r="BS1282" s="121"/>
      <c r="BT1282" s="121"/>
      <c r="BU1282" s="121"/>
      <c r="BV1282" s="121"/>
      <c r="BW1282" s="121"/>
      <c r="BX1282" s="121"/>
      <c r="BY1282" s="121"/>
      <c r="BZ1282" s="121"/>
      <c r="CA1282" s="121"/>
      <c r="CB1282" s="121"/>
      <c r="CC1282" s="121"/>
      <c r="CD1282" s="121"/>
      <c r="CE1282" s="121"/>
      <c r="CF1282" s="121"/>
      <c r="CG1282" s="121"/>
      <c r="CH1282" s="121"/>
    </row>
    <row r="1283" spans="1:86" s="122" customFormat="1" ht="33.4" hidden="1" customHeight="1" x14ac:dyDescent="0.2">
      <c r="A1283" s="1603">
        <v>16</v>
      </c>
      <c r="B1283" s="1656">
        <v>3399246</v>
      </c>
      <c r="C1283" s="1994" t="s">
        <v>579</v>
      </c>
      <c r="D1283" s="1985">
        <v>3.0449999999999999</v>
      </c>
      <c r="E1283" s="1986">
        <v>13700</v>
      </c>
      <c r="F1283" s="1985">
        <v>1</v>
      </c>
      <c r="G1283" s="1987">
        <v>4500</v>
      </c>
      <c r="H1283" s="153"/>
      <c r="I1283" s="153"/>
      <c r="J1283" s="153"/>
      <c r="K1283" s="153"/>
      <c r="L1283" s="153"/>
      <c r="M1283" s="153"/>
      <c r="N1283" s="153"/>
      <c r="O1283" s="153"/>
      <c r="P1283" s="153"/>
      <c r="Q1283" s="153"/>
      <c r="R1283" s="153"/>
      <c r="S1283" s="207"/>
      <c r="T1283" s="153"/>
      <c r="U1283" s="153"/>
      <c r="V1283" s="153"/>
      <c r="W1283" s="91"/>
      <c r="X1283" s="92"/>
      <c r="Y1283" s="155"/>
      <c r="Z1283" s="153"/>
      <c r="AA1283" s="153"/>
      <c r="AB1283" s="153"/>
      <c r="AC1283" s="153"/>
      <c r="AD1283" s="153"/>
      <c r="AE1283" s="153"/>
      <c r="AF1283" s="153"/>
      <c r="AG1283" s="153"/>
      <c r="AH1283" s="153"/>
      <c r="AI1283" s="153"/>
      <c r="AJ1283" s="153"/>
      <c r="AK1283" s="153"/>
      <c r="AL1283" s="2376" t="s">
        <v>441</v>
      </c>
      <c r="AM1283" s="2374" t="s">
        <v>402</v>
      </c>
      <c r="AN1283" s="1488" t="s">
        <v>495</v>
      </c>
      <c r="AO1283" s="70"/>
      <c r="AP1283" s="69" t="s">
        <v>2</v>
      </c>
      <c r="AQ1283" s="1751"/>
      <c r="AR1283" s="295"/>
      <c r="AS1283" s="121"/>
      <c r="AT1283" s="121"/>
      <c r="AU1283" s="121"/>
      <c r="AV1283" s="121"/>
      <c r="AW1283" s="121"/>
      <c r="AX1283" s="121"/>
      <c r="AY1283" s="121"/>
      <c r="AZ1283" s="121"/>
      <c r="BA1283" s="121"/>
      <c r="BB1283" s="121"/>
      <c r="BC1283" s="121"/>
      <c r="BD1283" s="121"/>
      <c r="BE1283" s="121"/>
      <c r="BF1283" s="121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21"/>
      <c r="BS1283" s="121"/>
      <c r="BT1283" s="121"/>
      <c r="BU1283" s="121"/>
      <c r="BV1283" s="121"/>
      <c r="BW1283" s="121"/>
      <c r="BX1283" s="121"/>
      <c r="BY1283" s="121"/>
      <c r="BZ1283" s="121"/>
      <c r="CA1283" s="121"/>
      <c r="CB1283" s="121"/>
      <c r="CC1283" s="121"/>
      <c r="CD1283" s="121"/>
      <c r="CE1283" s="121"/>
      <c r="CF1283" s="121"/>
      <c r="CG1283" s="121"/>
      <c r="CH1283" s="121"/>
    </row>
    <row r="1284" spans="1:86" s="122" customFormat="1" ht="17.649999999999999" hidden="1" customHeight="1" thickBot="1" x14ac:dyDescent="0.25">
      <c r="A1284" s="1604"/>
      <c r="B1284" s="1657"/>
      <c r="C1284" s="1816"/>
      <c r="D1284" s="1551"/>
      <c r="E1284" s="1701"/>
      <c r="F1284" s="1551"/>
      <c r="G1284" s="1984"/>
      <c r="H1284" s="153"/>
      <c r="I1284" s="153"/>
      <c r="J1284" s="153"/>
      <c r="K1284" s="153"/>
      <c r="L1284" s="153"/>
      <c r="M1284" s="153"/>
      <c r="N1284" s="153"/>
      <c r="O1284" s="153"/>
      <c r="P1284" s="153"/>
      <c r="Q1284" s="153"/>
      <c r="R1284" s="153"/>
      <c r="S1284" s="207"/>
      <c r="T1284" s="153"/>
      <c r="U1284" s="153"/>
      <c r="V1284" s="153"/>
      <c r="W1284" s="91"/>
      <c r="X1284" s="92"/>
      <c r="Y1284" s="155"/>
      <c r="Z1284" s="153"/>
      <c r="AA1284" s="153"/>
      <c r="AB1284" s="153"/>
      <c r="AC1284" s="153"/>
      <c r="AD1284" s="153"/>
      <c r="AE1284" s="153"/>
      <c r="AF1284" s="153"/>
      <c r="AG1284" s="153"/>
      <c r="AH1284" s="153"/>
      <c r="AI1284" s="153"/>
      <c r="AJ1284" s="153"/>
      <c r="AK1284" s="153"/>
      <c r="AL1284" s="1493"/>
      <c r="AM1284" s="1491"/>
      <c r="AN1284" s="1489"/>
      <c r="AO1284" s="71">
        <f>AO1283*4500</f>
        <v>0</v>
      </c>
      <c r="AP1284" s="69" t="s">
        <v>3</v>
      </c>
      <c r="AQ1284" s="1752"/>
      <c r="AR1284" s="295"/>
      <c r="AS1284" s="121"/>
      <c r="AT1284" s="121"/>
      <c r="AU1284" s="121"/>
      <c r="AV1284" s="121"/>
      <c r="AW1284" s="121"/>
      <c r="AX1284" s="121"/>
      <c r="AY1284" s="121"/>
      <c r="AZ1284" s="121"/>
      <c r="BA1284" s="121"/>
      <c r="BB1284" s="121"/>
      <c r="BC1284" s="121"/>
      <c r="BD1284" s="121"/>
      <c r="BE1284" s="121"/>
      <c r="BF1284" s="121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21"/>
      <c r="BS1284" s="121"/>
      <c r="BT1284" s="121"/>
      <c r="BU1284" s="121"/>
      <c r="BV1284" s="121"/>
      <c r="BW1284" s="121"/>
      <c r="BX1284" s="121"/>
      <c r="BY1284" s="121"/>
      <c r="BZ1284" s="121"/>
      <c r="CA1284" s="121"/>
      <c r="CB1284" s="121"/>
      <c r="CC1284" s="121"/>
      <c r="CD1284" s="121"/>
      <c r="CE1284" s="121"/>
      <c r="CF1284" s="121"/>
      <c r="CG1284" s="121"/>
      <c r="CH1284" s="121"/>
    </row>
    <row r="1285" spans="1:86" s="122" customFormat="1" ht="21.75" customHeight="1" x14ac:dyDescent="0.2">
      <c r="A1285" s="1603">
        <v>17</v>
      </c>
      <c r="B1285" s="1656">
        <v>3399242</v>
      </c>
      <c r="C1285" s="1815" t="s">
        <v>580</v>
      </c>
      <c r="D1285" s="1550">
        <v>4.32</v>
      </c>
      <c r="E1285" s="1700">
        <v>21600</v>
      </c>
      <c r="F1285" s="1550">
        <v>1.5</v>
      </c>
      <c r="G1285" s="1983">
        <f>F1285*5000</f>
        <v>7500</v>
      </c>
      <c r="H1285" s="153"/>
      <c r="I1285" s="153"/>
      <c r="J1285" s="153"/>
      <c r="K1285" s="153"/>
      <c r="L1285" s="153"/>
      <c r="M1285" s="153"/>
      <c r="N1285" s="153"/>
      <c r="O1285" s="153"/>
      <c r="P1285" s="153"/>
      <c r="Q1285" s="153"/>
      <c r="R1285" s="153"/>
      <c r="S1285" s="207"/>
      <c r="T1285" s="153"/>
      <c r="U1285" s="153"/>
      <c r="V1285" s="153"/>
      <c r="W1285" s="91"/>
      <c r="X1285" s="92"/>
      <c r="Y1285" s="155"/>
      <c r="Z1285" s="153"/>
      <c r="AA1285" s="153"/>
      <c r="AB1285" s="153"/>
      <c r="AC1285" s="153"/>
      <c r="AD1285" s="153"/>
      <c r="AE1285" s="153"/>
      <c r="AF1285" s="153"/>
      <c r="AG1285" s="153"/>
      <c r="AH1285" s="153"/>
      <c r="AI1285" s="153"/>
      <c r="AJ1285" s="153"/>
      <c r="AK1285" s="153"/>
      <c r="AL1285" s="2376" t="s">
        <v>441</v>
      </c>
      <c r="AM1285" s="2374" t="s">
        <v>532</v>
      </c>
      <c r="AN1285" s="1488" t="s">
        <v>495</v>
      </c>
      <c r="AO1285" s="70">
        <v>1.2</v>
      </c>
      <c r="AP1285" s="69" t="s">
        <v>2</v>
      </c>
      <c r="AQ1285" s="1751">
        <f>8400*2</f>
        <v>16800</v>
      </c>
      <c r="AR1285" s="153"/>
      <c r="AS1285" s="121"/>
      <c r="AT1285" s="121"/>
      <c r="AU1285" s="121"/>
      <c r="AV1285" s="121"/>
      <c r="AW1285" s="121"/>
      <c r="AX1285" s="121"/>
      <c r="AY1285" s="121"/>
      <c r="AZ1285" s="121"/>
      <c r="BA1285" s="121"/>
      <c r="BB1285" s="121"/>
      <c r="BC1285" s="121"/>
      <c r="BD1285" s="121"/>
      <c r="BE1285" s="121"/>
      <c r="BF1285" s="121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21"/>
      <c r="BS1285" s="121"/>
      <c r="BT1285" s="121"/>
      <c r="BU1285" s="121"/>
      <c r="BV1285" s="121"/>
      <c r="BW1285" s="121"/>
      <c r="BX1285" s="121"/>
      <c r="BY1285" s="121"/>
      <c r="BZ1285" s="121"/>
      <c r="CA1285" s="121"/>
      <c r="CB1285" s="121"/>
      <c r="CC1285" s="121"/>
      <c r="CD1285" s="121"/>
      <c r="CE1285" s="121"/>
      <c r="CF1285" s="121"/>
      <c r="CG1285" s="121"/>
      <c r="CH1285" s="121"/>
    </row>
    <row r="1286" spans="1:86" s="122" customFormat="1" ht="21.75" customHeight="1" thickBot="1" x14ac:dyDescent="0.25">
      <c r="A1286" s="1604"/>
      <c r="B1286" s="1657"/>
      <c r="C1286" s="1816"/>
      <c r="D1286" s="1551"/>
      <c r="E1286" s="1701"/>
      <c r="F1286" s="1551"/>
      <c r="G1286" s="1984"/>
      <c r="H1286" s="153"/>
      <c r="I1286" s="153"/>
      <c r="J1286" s="153"/>
      <c r="K1286" s="153"/>
      <c r="L1286" s="153"/>
      <c r="M1286" s="153"/>
      <c r="N1286" s="153"/>
      <c r="O1286" s="153"/>
      <c r="P1286" s="153"/>
      <c r="Q1286" s="153"/>
      <c r="R1286" s="153"/>
      <c r="S1286" s="207"/>
      <c r="T1286" s="153"/>
      <c r="U1286" s="153"/>
      <c r="V1286" s="153"/>
      <c r="W1286" s="91"/>
      <c r="X1286" s="92"/>
      <c r="Y1286" s="155"/>
      <c r="Z1286" s="153"/>
      <c r="AA1286" s="153"/>
      <c r="AB1286" s="153"/>
      <c r="AC1286" s="153"/>
      <c r="AD1286" s="153"/>
      <c r="AE1286" s="153"/>
      <c r="AF1286" s="153"/>
      <c r="AG1286" s="153"/>
      <c r="AH1286" s="153"/>
      <c r="AI1286" s="153"/>
      <c r="AJ1286" s="153"/>
      <c r="AK1286" s="153"/>
      <c r="AL1286" s="1493"/>
      <c r="AM1286" s="1491"/>
      <c r="AN1286" s="1489"/>
      <c r="AO1286" s="72">
        <v>5400</v>
      </c>
      <c r="AP1286" s="69" t="s">
        <v>3</v>
      </c>
      <c r="AQ1286" s="1752"/>
      <c r="AR1286" s="295"/>
      <c r="AS1286" s="121"/>
      <c r="AT1286" s="121"/>
      <c r="AU1286" s="121"/>
      <c r="AV1286" s="121"/>
      <c r="AW1286" s="121"/>
      <c r="AX1286" s="121"/>
      <c r="AY1286" s="121"/>
      <c r="AZ1286" s="121"/>
      <c r="BA1286" s="121"/>
      <c r="BB1286" s="121"/>
      <c r="BC1286" s="121"/>
      <c r="BD1286" s="121"/>
      <c r="BE1286" s="121"/>
      <c r="BF1286" s="121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21"/>
      <c r="BS1286" s="121"/>
      <c r="BT1286" s="121"/>
      <c r="BU1286" s="121"/>
      <c r="BV1286" s="121"/>
      <c r="BW1286" s="121"/>
      <c r="BX1286" s="121"/>
      <c r="BY1286" s="121"/>
      <c r="BZ1286" s="121"/>
      <c r="CA1286" s="121"/>
      <c r="CB1286" s="121"/>
      <c r="CC1286" s="121"/>
      <c r="CD1286" s="121"/>
      <c r="CE1286" s="121"/>
      <c r="CF1286" s="121"/>
      <c r="CG1286" s="121"/>
      <c r="CH1286" s="121"/>
    </row>
    <row r="1287" spans="1:86" s="122" customFormat="1" ht="21.75" hidden="1" customHeight="1" x14ac:dyDescent="0.2">
      <c r="A1287" s="1603">
        <v>18</v>
      </c>
      <c r="B1287" s="1656">
        <v>3399213</v>
      </c>
      <c r="C1287" s="1815" t="s">
        <v>565</v>
      </c>
      <c r="D1287" s="1550">
        <v>1.7000000000000002</v>
      </c>
      <c r="E1287" s="1700">
        <v>7650</v>
      </c>
      <c r="F1287" s="1550">
        <v>1</v>
      </c>
      <c r="G1287" s="1983">
        <v>6750</v>
      </c>
      <c r="H1287" s="153"/>
      <c r="I1287" s="153"/>
      <c r="J1287" s="153"/>
      <c r="K1287" s="153"/>
      <c r="L1287" s="153"/>
      <c r="M1287" s="153"/>
      <c r="N1287" s="153"/>
      <c r="O1287" s="153"/>
      <c r="P1287" s="153"/>
      <c r="Q1287" s="153"/>
      <c r="R1287" s="153"/>
      <c r="S1287" s="207"/>
      <c r="T1287" s="153"/>
      <c r="U1287" s="153"/>
      <c r="V1287" s="153"/>
      <c r="W1287" s="91"/>
      <c r="X1287" s="92"/>
      <c r="Y1287" s="155"/>
      <c r="Z1287" s="153"/>
      <c r="AA1287" s="153"/>
      <c r="AB1287" s="153"/>
      <c r="AC1287" s="153"/>
      <c r="AD1287" s="153"/>
      <c r="AE1287" s="153"/>
      <c r="AF1287" s="153"/>
      <c r="AG1287" s="153"/>
      <c r="AH1287" s="153"/>
      <c r="AI1287" s="153"/>
      <c r="AJ1287" s="153"/>
      <c r="AK1287" s="153"/>
      <c r="AL1287" s="2376" t="s">
        <v>441</v>
      </c>
      <c r="AM1287" s="2374" t="s">
        <v>520</v>
      </c>
      <c r="AN1287" s="1488" t="s">
        <v>495</v>
      </c>
      <c r="AO1287" s="70"/>
      <c r="AP1287" s="69" t="s">
        <v>2</v>
      </c>
      <c r="AQ1287" s="1751"/>
      <c r="AR1287" s="295"/>
      <c r="AS1287" s="121"/>
      <c r="AT1287" s="121"/>
      <c r="AU1287" s="121"/>
      <c r="AV1287" s="121"/>
      <c r="AW1287" s="121"/>
      <c r="AX1287" s="121"/>
      <c r="AY1287" s="121"/>
      <c r="AZ1287" s="121"/>
      <c r="BA1287" s="121"/>
      <c r="BB1287" s="121"/>
      <c r="BC1287" s="121"/>
      <c r="BD1287" s="121"/>
      <c r="BE1287" s="121"/>
      <c r="BF1287" s="121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21"/>
      <c r="BS1287" s="121"/>
      <c r="BT1287" s="121"/>
      <c r="BU1287" s="121"/>
      <c r="BV1287" s="121"/>
      <c r="BW1287" s="121"/>
      <c r="BX1287" s="121"/>
      <c r="BY1287" s="121"/>
      <c r="BZ1287" s="121"/>
      <c r="CA1287" s="121"/>
      <c r="CB1287" s="121"/>
      <c r="CC1287" s="121"/>
      <c r="CD1287" s="121"/>
      <c r="CE1287" s="121"/>
      <c r="CF1287" s="121"/>
      <c r="CG1287" s="121"/>
      <c r="CH1287" s="121"/>
    </row>
    <row r="1288" spans="1:86" s="122" customFormat="1" ht="21.75" hidden="1" customHeight="1" thickBot="1" x14ac:dyDescent="0.25">
      <c r="A1288" s="1604"/>
      <c r="B1288" s="1657"/>
      <c r="C1288" s="1816"/>
      <c r="D1288" s="1551"/>
      <c r="E1288" s="1701"/>
      <c r="F1288" s="1551"/>
      <c r="G1288" s="1984"/>
      <c r="H1288" s="153"/>
      <c r="I1288" s="153"/>
      <c r="J1288" s="153"/>
      <c r="K1288" s="153"/>
      <c r="L1288" s="153"/>
      <c r="M1288" s="153"/>
      <c r="N1288" s="153"/>
      <c r="O1288" s="153"/>
      <c r="P1288" s="153"/>
      <c r="Q1288" s="153"/>
      <c r="R1288" s="153"/>
      <c r="S1288" s="207"/>
      <c r="T1288" s="153"/>
      <c r="U1288" s="153"/>
      <c r="V1288" s="153"/>
      <c r="W1288" s="91"/>
      <c r="X1288" s="92"/>
      <c r="Y1288" s="155"/>
      <c r="Z1288" s="153"/>
      <c r="AA1288" s="153"/>
      <c r="AB1288" s="153"/>
      <c r="AC1288" s="153"/>
      <c r="AD1288" s="153"/>
      <c r="AE1288" s="153"/>
      <c r="AF1288" s="153"/>
      <c r="AG1288" s="153"/>
      <c r="AH1288" s="153"/>
      <c r="AI1288" s="153"/>
      <c r="AJ1288" s="153"/>
      <c r="AK1288" s="153"/>
      <c r="AL1288" s="2377"/>
      <c r="AM1288" s="2375"/>
      <c r="AN1288" s="1485"/>
      <c r="AO1288" s="745"/>
      <c r="AP1288" s="1024" t="s">
        <v>3</v>
      </c>
      <c r="AQ1288" s="1993"/>
      <c r="AR1288" s="295"/>
      <c r="AS1288" s="121"/>
      <c r="AT1288" s="121"/>
      <c r="AU1288" s="121"/>
      <c r="AV1288" s="121"/>
      <c r="AW1288" s="121"/>
      <c r="AX1288" s="121"/>
      <c r="AY1288" s="121"/>
      <c r="AZ1288" s="121"/>
      <c r="BA1288" s="121"/>
      <c r="BB1288" s="121"/>
      <c r="BC1288" s="121"/>
      <c r="BD1288" s="121"/>
      <c r="BE1288" s="121"/>
      <c r="BF1288" s="121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21"/>
      <c r="BS1288" s="121"/>
      <c r="BT1288" s="121"/>
      <c r="BU1288" s="121"/>
      <c r="BV1288" s="121"/>
      <c r="BW1288" s="121"/>
      <c r="BX1288" s="121"/>
      <c r="BY1288" s="121"/>
      <c r="BZ1288" s="121"/>
      <c r="CA1288" s="121"/>
      <c r="CB1288" s="121"/>
      <c r="CC1288" s="121"/>
      <c r="CD1288" s="121"/>
      <c r="CE1288" s="121"/>
      <c r="CF1288" s="121"/>
      <c r="CG1288" s="121"/>
      <c r="CH1288" s="121"/>
    </row>
    <row r="1289" spans="1:86" s="122" customFormat="1" ht="21.75" customHeight="1" x14ac:dyDescent="0.2">
      <c r="A1289" s="1603">
        <v>18</v>
      </c>
      <c r="B1289" s="1656">
        <v>3399215</v>
      </c>
      <c r="C1289" s="1815" t="s">
        <v>564</v>
      </c>
      <c r="D1289" s="1550">
        <v>5.0999999999999996</v>
      </c>
      <c r="E1289" s="1700">
        <v>25500</v>
      </c>
      <c r="F1289" s="1550">
        <v>2.1</v>
      </c>
      <c r="G1289" s="1983">
        <f>F1289*5000</f>
        <v>10500</v>
      </c>
      <c r="H1289" s="153"/>
      <c r="I1289" s="153"/>
      <c r="J1289" s="153"/>
      <c r="K1289" s="153"/>
      <c r="L1289" s="153"/>
      <c r="M1289" s="153"/>
      <c r="N1289" s="153"/>
      <c r="O1289" s="153"/>
      <c r="P1289" s="153"/>
      <c r="Q1289" s="153"/>
      <c r="R1289" s="153"/>
      <c r="S1289" s="207"/>
      <c r="T1289" s="153"/>
      <c r="U1289" s="153"/>
      <c r="V1289" s="153"/>
      <c r="W1289" s="91"/>
      <c r="X1289" s="92"/>
      <c r="Y1289" s="155"/>
      <c r="Z1289" s="153"/>
      <c r="AA1289" s="153"/>
      <c r="AB1289" s="153"/>
      <c r="AC1289" s="153"/>
      <c r="AD1289" s="153"/>
      <c r="AE1289" s="153"/>
      <c r="AF1289" s="1492" t="s">
        <v>441</v>
      </c>
      <c r="AG1289" s="1490" t="s">
        <v>1146</v>
      </c>
      <c r="AH1289" s="1488" t="s">
        <v>495</v>
      </c>
      <c r="AI1289" s="70">
        <v>2.1</v>
      </c>
      <c r="AJ1289" s="69" t="s">
        <v>2</v>
      </c>
      <c r="AK1289" s="2495">
        <f>17500-45.263</f>
        <v>17454.737000000001</v>
      </c>
      <c r="AL1289" s="990"/>
      <c r="AM1289" s="990"/>
      <c r="AN1289" s="627"/>
      <c r="AO1289" s="78"/>
      <c r="AP1289" s="990"/>
      <c r="AQ1289" s="743"/>
      <c r="AR1289" s="295"/>
      <c r="AS1289" s="121"/>
      <c r="AT1289" s="121"/>
      <c r="AU1289" s="121"/>
      <c r="AV1289" s="121"/>
      <c r="AW1289" s="121"/>
      <c r="AX1289" s="121"/>
      <c r="AY1289" s="121"/>
      <c r="AZ1289" s="121"/>
      <c r="BA1289" s="121"/>
      <c r="BB1289" s="121"/>
      <c r="BC1289" s="121"/>
      <c r="BD1289" s="121"/>
      <c r="BE1289" s="121"/>
      <c r="BF1289" s="121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21"/>
      <c r="BS1289" s="121"/>
      <c r="BT1289" s="121"/>
      <c r="BU1289" s="121"/>
      <c r="BV1289" s="121"/>
      <c r="BW1289" s="121"/>
      <c r="BX1289" s="121"/>
      <c r="BY1289" s="121"/>
      <c r="BZ1289" s="121"/>
      <c r="CA1289" s="121"/>
      <c r="CB1289" s="121"/>
      <c r="CC1289" s="121"/>
      <c r="CD1289" s="121"/>
      <c r="CE1289" s="121"/>
      <c r="CF1289" s="121"/>
      <c r="CG1289" s="121"/>
      <c r="CH1289" s="121"/>
    </row>
    <row r="1290" spans="1:86" s="122" customFormat="1" ht="21.75" customHeight="1" thickBot="1" x14ac:dyDescent="0.25">
      <c r="A1290" s="1604"/>
      <c r="B1290" s="1657"/>
      <c r="C1290" s="1816"/>
      <c r="D1290" s="1551"/>
      <c r="E1290" s="1701"/>
      <c r="F1290" s="1551"/>
      <c r="G1290" s="1984"/>
      <c r="H1290" s="153"/>
      <c r="I1290" s="153"/>
      <c r="J1290" s="153"/>
      <c r="K1290" s="153"/>
      <c r="L1290" s="153"/>
      <c r="M1290" s="153"/>
      <c r="N1290" s="153"/>
      <c r="O1290" s="153"/>
      <c r="P1290" s="153"/>
      <c r="Q1290" s="153"/>
      <c r="R1290" s="153"/>
      <c r="S1290" s="207"/>
      <c r="T1290" s="153"/>
      <c r="U1290" s="153"/>
      <c r="V1290" s="153"/>
      <c r="W1290" s="91"/>
      <c r="X1290" s="92"/>
      <c r="Y1290" s="155"/>
      <c r="Z1290" s="153"/>
      <c r="AA1290" s="153"/>
      <c r="AB1290" s="153"/>
      <c r="AC1290" s="153"/>
      <c r="AD1290" s="153"/>
      <c r="AE1290" s="153"/>
      <c r="AF1290" s="1493"/>
      <c r="AG1290" s="1491"/>
      <c r="AH1290" s="1489"/>
      <c r="AI1290" s="72">
        <f>AI1289*5000</f>
        <v>10500</v>
      </c>
      <c r="AJ1290" s="69" t="s">
        <v>3</v>
      </c>
      <c r="AK1290" s="2496"/>
      <c r="AL1290" s="990"/>
      <c r="AM1290" s="990"/>
      <c r="AN1290" s="627"/>
      <c r="AO1290" s="747"/>
      <c r="AP1290" s="990"/>
      <c r="AQ1290" s="743"/>
      <c r="AR1290" s="295"/>
      <c r="AS1290" s="121"/>
      <c r="AT1290" s="121"/>
      <c r="AU1290" s="121"/>
      <c r="AV1290" s="121"/>
      <c r="AW1290" s="121"/>
      <c r="AX1290" s="121"/>
      <c r="AY1290" s="121"/>
      <c r="AZ1290" s="121"/>
      <c r="BA1290" s="121"/>
      <c r="BB1290" s="121"/>
      <c r="BC1290" s="121"/>
      <c r="BD1290" s="121"/>
      <c r="BE1290" s="121"/>
      <c r="BF1290" s="121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21"/>
      <c r="BS1290" s="121"/>
      <c r="BT1290" s="121"/>
      <c r="BU1290" s="121"/>
      <c r="BV1290" s="121"/>
      <c r="BW1290" s="121"/>
      <c r="BX1290" s="121"/>
      <c r="BY1290" s="121"/>
      <c r="BZ1290" s="121"/>
      <c r="CA1290" s="121"/>
      <c r="CB1290" s="121"/>
      <c r="CC1290" s="121"/>
      <c r="CD1290" s="121"/>
      <c r="CE1290" s="121"/>
      <c r="CF1290" s="121"/>
      <c r="CG1290" s="121"/>
      <c r="CH1290" s="121"/>
    </row>
    <row r="1291" spans="1:86" s="122" customFormat="1" ht="37.35" hidden="1" customHeight="1" x14ac:dyDescent="0.2">
      <c r="A1291" s="1603">
        <v>20</v>
      </c>
      <c r="B1291" s="1656">
        <v>3399233</v>
      </c>
      <c r="C1291" s="1815" t="s">
        <v>563</v>
      </c>
      <c r="D1291" s="1550">
        <v>1.5</v>
      </c>
      <c r="E1291" s="1700">
        <v>6750</v>
      </c>
      <c r="F1291" s="1550">
        <v>1.5</v>
      </c>
      <c r="G1291" s="1983">
        <f>F1291*4500</f>
        <v>6750</v>
      </c>
      <c r="H1291" s="153"/>
      <c r="I1291" s="153"/>
      <c r="J1291" s="153"/>
      <c r="K1291" s="153"/>
      <c r="L1291" s="153"/>
      <c r="M1291" s="153"/>
      <c r="N1291" s="153"/>
      <c r="O1291" s="153"/>
      <c r="P1291" s="153"/>
      <c r="Q1291" s="153"/>
      <c r="R1291" s="153"/>
      <c r="S1291" s="207"/>
      <c r="T1291" s="153"/>
      <c r="U1291" s="153"/>
      <c r="V1291" s="153"/>
      <c r="W1291" s="91"/>
      <c r="X1291" s="92"/>
      <c r="Y1291" s="155"/>
      <c r="Z1291" s="153"/>
      <c r="AA1291" s="153"/>
      <c r="AB1291" s="153"/>
      <c r="AC1291" s="153"/>
      <c r="AD1291" s="153"/>
      <c r="AE1291" s="153"/>
      <c r="AF1291" s="153"/>
      <c r="AG1291" s="153"/>
      <c r="AH1291" s="153"/>
      <c r="AI1291" s="153"/>
      <c r="AJ1291" s="153"/>
      <c r="AK1291" s="153"/>
      <c r="AL1291" s="1492" t="s">
        <v>441</v>
      </c>
      <c r="AM1291" s="1490" t="s">
        <v>553</v>
      </c>
      <c r="AN1291" s="1485" t="s">
        <v>495</v>
      </c>
      <c r="AO1291" s="746"/>
      <c r="AP1291" s="1023" t="s">
        <v>2</v>
      </c>
      <c r="AQ1291" s="1993"/>
      <c r="AR1291" s="295"/>
      <c r="AS1291" s="121"/>
      <c r="AT1291" s="121"/>
      <c r="AU1291" s="121"/>
      <c r="AV1291" s="121"/>
      <c r="AW1291" s="121"/>
      <c r="AX1291" s="121"/>
      <c r="AY1291" s="121"/>
      <c r="AZ1291" s="121"/>
      <c r="BA1291" s="121"/>
      <c r="BB1291" s="121"/>
      <c r="BC1291" s="121"/>
      <c r="BD1291" s="121"/>
      <c r="BE1291" s="121"/>
      <c r="BF1291" s="121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21"/>
      <c r="BS1291" s="121"/>
      <c r="BT1291" s="121"/>
      <c r="BU1291" s="121"/>
      <c r="BV1291" s="121"/>
      <c r="BW1291" s="121"/>
      <c r="BX1291" s="121"/>
      <c r="BY1291" s="121"/>
      <c r="BZ1291" s="121"/>
      <c r="CA1291" s="121"/>
      <c r="CB1291" s="121"/>
      <c r="CC1291" s="121"/>
      <c r="CD1291" s="121"/>
      <c r="CE1291" s="121"/>
      <c r="CF1291" s="121"/>
      <c r="CG1291" s="121"/>
      <c r="CH1291" s="121"/>
    </row>
    <row r="1292" spans="1:86" s="122" customFormat="1" ht="21.75" hidden="1" customHeight="1" thickBot="1" x14ac:dyDescent="0.25">
      <c r="A1292" s="1604"/>
      <c r="B1292" s="1657"/>
      <c r="C1292" s="1816"/>
      <c r="D1292" s="1551"/>
      <c r="E1292" s="1701"/>
      <c r="F1292" s="1551"/>
      <c r="G1292" s="1984"/>
      <c r="H1292" s="153"/>
      <c r="I1292" s="153"/>
      <c r="J1292" s="153"/>
      <c r="K1292" s="153"/>
      <c r="L1292" s="153"/>
      <c r="M1292" s="153"/>
      <c r="N1292" s="153"/>
      <c r="O1292" s="153"/>
      <c r="P1292" s="153"/>
      <c r="Q1292" s="153"/>
      <c r="R1292" s="153"/>
      <c r="S1292" s="207"/>
      <c r="T1292" s="153"/>
      <c r="U1292" s="153"/>
      <c r="V1292" s="153"/>
      <c r="W1292" s="91"/>
      <c r="X1292" s="92"/>
      <c r="Y1292" s="155"/>
      <c r="Z1292" s="153"/>
      <c r="AA1292" s="153"/>
      <c r="AB1292" s="153"/>
      <c r="AC1292" s="153"/>
      <c r="AD1292" s="153"/>
      <c r="AE1292" s="153"/>
      <c r="AF1292" s="153"/>
      <c r="AG1292" s="153"/>
      <c r="AH1292" s="153"/>
      <c r="AI1292" s="153"/>
      <c r="AJ1292" s="153"/>
      <c r="AK1292" s="153"/>
      <c r="AL1292" s="1493"/>
      <c r="AM1292" s="1491"/>
      <c r="AN1292" s="1489"/>
      <c r="AO1292" s="71"/>
      <c r="AP1292" s="69" t="s">
        <v>3</v>
      </c>
      <c r="AQ1292" s="1752"/>
      <c r="AR1292" s="295"/>
      <c r="AS1292" s="121"/>
      <c r="AT1292" s="121"/>
      <c r="AU1292" s="121"/>
      <c r="AV1292" s="121"/>
      <c r="AW1292" s="121"/>
      <c r="AX1292" s="121"/>
      <c r="AY1292" s="121"/>
      <c r="AZ1292" s="121"/>
      <c r="BA1292" s="121"/>
      <c r="BB1292" s="121"/>
      <c r="BC1292" s="121"/>
      <c r="BD1292" s="121"/>
      <c r="BE1292" s="121"/>
      <c r="BF1292" s="121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21"/>
      <c r="BS1292" s="121"/>
      <c r="BT1292" s="121"/>
      <c r="BU1292" s="121"/>
      <c r="BV1292" s="121"/>
      <c r="BW1292" s="121"/>
      <c r="BX1292" s="121"/>
      <c r="BY1292" s="121"/>
      <c r="BZ1292" s="121"/>
      <c r="CA1292" s="121"/>
      <c r="CB1292" s="121"/>
      <c r="CC1292" s="121"/>
      <c r="CD1292" s="121"/>
      <c r="CE1292" s="121"/>
      <c r="CF1292" s="121"/>
      <c r="CG1292" s="121"/>
      <c r="CH1292" s="121"/>
    </row>
    <row r="1293" spans="1:86" s="122" customFormat="1" ht="21.75" hidden="1" customHeight="1" x14ac:dyDescent="0.2">
      <c r="A1293" s="1603">
        <v>28</v>
      </c>
      <c r="B1293" s="1656">
        <v>3399207</v>
      </c>
      <c r="C1293" s="1815" t="s">
        <v>562</v>
      </c>
      <c r="D1293" s="1550">
        <v>0.9</v>
      </c>
      <c r="E1293" s="1700">
        <v>4500</v>
      </c>
      <c r="F1293" s="1550">
        <v>0.9</v>
      </c>
      <c r="G1293" s="1983">
        <f>F1293*5000</f>
        <v>4500</v>
      </c>
      <c r="H1293" s="153"/>
      <c r="I1293" s="153"/>
      <c r="J1293" s="153"/>
      <c r="K1293" s="153"/>
      <c r="L1293" s="153"/>
      <c r="M1293" s="153"/>
      <c r="N1293" s="153"/>
      <c r="O1293" s="153"/>
      <c r="P1293" s="153"/>
      <c r="Q1293" s="153"/>
      <c r="R1293" s="153"/>
      <c r="S1293" s="207"/>
      <c r="T1293" s="153"/>
      <c r="U1293" s="153"/>
      <c r="V1293" s="153"/>
      <c r="W1293" s="91"/>
      <c r="X1293" s="92"/>
      <c r="Y1293" s="155"/>
      <c r="Z1293" s="153"/>
      <c r="AA1293" s="153"/>
      <c r="AB1293" s="153"/>
      <c r="AC1293" s="153"/>
      <c r="AD1293" s="153"/>
      <c r="AE1293" s="153"/>
      <c r="AF1293" s="153"/>
      <c r="AG1293" s="153"/>
      <c r="AH1293" s="153"/>
      <c r="AI1293" s="153"/>
      <c r="AJ1293" s="153"/>
      <c r="AK1293" s="153"/>
      <c r="AL1293" s="69" t="s">
        <v>441</v>
      </c>
      <c r="AM1293" s="69" t="s">
        <v>523</v>
      </c>
      <c r="AN1293" s="1488" t="s">
        <v>495</v>
      </c>
      <c r="AO1293" s="70"/>
      <c r="AP1293" s="69" t="s">
        <v>2</v>
      </c>
      <c r="AQ1293" s="1751"/>
      <c r="AR1293" s="295"/>
      <c r="AS1293" s="121"/>
      <c r="AT1293" s="121"/>
      <c r="AU1293" s="121"/>
      <c r="AV1293" s="121"/>
      <c r="AW1293" s="121"/>
      <c r="AX1293" s="121"/>
      <c r="AY1293" s="121"/>
      <c r="AZ1293" s="121"/>
      <c r="BA1293" s="121"/>
      <c r="BB1293" s="121"/>
      <c r="BC1293" s="121"/>
      <c r="BD1293" s="121"/>
      <c r="BE1293" s="121"/>
      <c r="BF1293" s="121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21"/>
      <c r="BS1293" s="121"/>
      <c r="BT1293" s="121"/>
      <c r="BU1293" s="121"/>
      <c r="BV1293" s="121"/>
      <c r="BW1293" s="121"/>
      <c r="BX1293" s="121"/>
      <c r="BY1293" s="121"/>
      <c r="BZ1293" s="121"/>
      <c r="CA1293" s="121"/>
      <c r="CB1293" s="121"/>
      <c r="CC1293" s="121"/>
      <c r="CD1293" s="121"/>
      <c r="CE1293" s="121"/>
      <c r="CF1293" s="121"/>
      <c r="CG1293" s="121"/>
      <c r="CH1293" s="121"/>
    </row>
    <row r="1294" spans="1:86" s="122" customFormat="1" ht="21.75" hidden="1" customHeight="1" thickBot="1" x14ac:dyDescent="0.25">
      <c r="A1294" s="1604"/>
      <c r="B1294" s="1657"/>
      <c r="C1294" s="1816"/>
      <c r="D1294" s="1551"/>
      <c r="E1294" s="1701"/>
      <c r="F1294" s="1551"/>
      <c r="G1294" s="1984"/>
      <c r="H1294" s="153"/>
      <c r="I1294" s="153"/>
      <c r="J1294" s="153"/>
      <c r="K1294" s="153"/>
      <c r="L1294" s="153"/>
      <c r="M1294" s="153"/>
      <c r="N1294" s="153"/>
      <c r="O1294" s="153"/>
      <c r="P1294" s="153"/>
      <c r="Q1294" s="153"/>
      <c r="R1294" s="153"/>
      <c r="S1294" s="207"/>
      <c r="T1294" s="153"/>
      <c r="U1294" s="153"/>
      <c r="V1294" s="153"/>
      <c r="W1294" s="91"/>
      <c r="X1294" s="92"/>
      <c r="Y1294" s="155"/>
      <c r="Z1294" s="153"/>
      <c r="AA1294" s="153"/>
      <c r="AB1294" s="153"/>
      <c r="AC1294" s="153"/>
      <c r="AD1294" s="153"/>
      <c r="AE1294" s="153"/>
      <c r="AF1294" s="153"/>
      <c r="AG1294" s="153"/>
      <c r="AH1294" s="153"/>
      <c r="AI1294" s="153"/>
      <c r="AJ1294" s="153"/>
      <c r="AK1294" s="153"/>
      <c r="AL1294" s="69"/>
      <c r="AM1294" s="69"/>
      <c r="AN1294" s="1489"/>
      <c r="AO1294" s="72"/>
      <c r="AP1294" s="69" t="s">
        <v>3</v>
      </c>
      <c r="AQ1294" s="1752"/>
      <c r="AR1294" s="295"/>
      <c r="AS1294" s="121"/>
      <c r="AT1294" s="121"/>
      <c r="AU1294" s="121"/>
      <c r="AV1294" s="121"/>
      <c r="AW1294" s="121"/>
      <c r="AX1294" s="121"/>
      <c r="AY1294" s="121"/>
      <c r="AZ1294" s="121"/>
      <c r="BA1294" s="121"/>
      <c r="BB1294" s="121"/>
      <c r="BC1294" s="121"/>
      <c r="BD1294" s="121"/>
      <c r="BE1294" s="121"/>
      <c r="BF1294" s="121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21"/>
      <c r="BS1294" s="121"/>
      <c r="BT1294" s="121"/>
      <c r="BU1294" s="121"/>
      <c r="BV1294" s="121"/>
      <c r="BW1294" s="121"/>
      <c r="BX1294" s="121"/>
      <c r="BY1294" s="121"/>
      <c r="BZ1294" s="121"/>
      <c r="CA1294" s="121"/>
      <c r="CB1294" s="121"/>
      <c r="CC1294" s="121"/>
      <c r="CD1294" s="121"/>
      <c r="CE1294" s="121"/>
      <c r="CF1294" s="121"/>
      <c r="CG1294" s="121"/>
      <c r="CH1294" s="121"/>
    </row>
    <row r="1295" spans="1:86" s="122" customFormat="1" ht="34.700000000000003" hidden="1" customHeight="1" x14ac:dyDescent="0.2">
      <c r="A1295" s="1603">
        <v>29</v>
      </c>
      <c r="B1295" s="1656">
        <v>3399208</v>
      </c>
      <c r="C1295" s="1815" t="s">
        <v>561</v>
      </c>
      <c r="D1295" s="1550">
        <v>0.30000000000000004</v>
      </c>
      <c r="E1295" s="1700">
        <v>1350</v>
      </c>
      <c r="F1295" s="1550">
        <v>0.3</v>
      </c>
      <c r="G1295" s="1983">
        <f>F1295*4500</f>
        <v>1350</v>
      </c>
      <c r="H1295" s="153"/>
      <c r="I1295" s="153"/>
      <c r="J1295" s="153"/>
      <c r="K1295" s="153"/>
      <c r="L1295" s="153"/>
      <c r="M1295" s="153"/>
      <c r="N1295" s="153"/>
      <c r="O1295" s="153"/>
      <c r="P1295" s="153"/>
      <c r="Q1295" s="153"/>
      <c r="R1295" s="153"/>
      <c r="S1295" s="207"/>
      <c r="T1295" s="153"/>
      <c r="U1295" s="153"/>
      <c r="V1295" s="153"/>
      <c r="W1295" s="91"/>
      <c r="X1295" s="92"/>
      <c r="Y1295" s="155"/>
      <c r="Z1295" s="153"/>
      <c r="AA1295" s="153"/>
      <c r="AB1295" s="153"/>
      <c r="AC1295" s="153"/>
      <c r="AD1295" s="153"/>
      <c r="AE1295" s="153"/>
      <c r="AF1295" s="153"/>
      <c r="AG1295" s="153"/>
      <c r="AH1295" s="153"/>
      <c r="AI1295" s="153"/>
      <c r="AJ1295" s="153"/>
      <c r="AK1295" s="153"/>
      <c r="AL1295" s="69" t="s">
        <v>441</v>
      </c>
      <c r="AM1295" s="69" t="s">
        <v>555</v>
      </c>
      <c r="AN1295" s="1488" t="s">
        <v>495</v>
      </c>
      <c r="AO1295" s="70"/>
      <c r="AP1295" s="69" t="s">
        <v>2</v>
      </c>
      <c r="AQ1295" s="1751">
        <f>AO1295*8000</f>
        <v>0</v>
      </c>
      <c r="AR1295" s="295"/>
      <c r="AS1295" s="121"/>
      <c r="AT1295" s="121"/>
      <c r="AU1295" s="121"/>
      <c r="AV1295" s="121"/>
      <c r="AW1295" s="121"/>
      <c r="AX1295" s="121"/>
      <c r="AY1295" s="121"/>
      <c r="AZ1295" s="121"/>
      <c r="BA1295" s="121"/>
      <c r="BB1295" s="121"/>
      <c r="BC1295" s="121"/>
      <c r="BD1295" s="121"/>
      <c r="BE1295" s="121"/>
      <c r="BF1295" s="121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21"/>
      <c r="BS1295" s="121"/>
      <c r="BT1295" s="121"/>
      <c r="BU1295" s="121"/>
      <c r="BV1295" s="121"/>
      <c r="BW1295" s="121"/>
      <c r="BX1295" s="121"/>
      <c r="BY1295" s="121"/>
      <c r="BZ1295" s="121"/>
      <c r="CA1295" s="121"/>
      <c r="CB1295" s="121"/>
      <c r="CC1295" s="121"/>
      <c r="CD1295" s="121"/>
      <c r="CE1295" s="121"/>
      <c r="CF1295" s="121"/>
      <c r="CG1295" s="121"/>
      <c r="CH1295" s="121"/>
    </row>
    <row r="1296" spans="1:86" s="122" customFormat="1" ht="21.75" hidden="1" customHeight="1" thickBot="1" x14ac:dyDescent="0.25">
      <c r="A1296" s="1604"/>
      <c r="B1296" s="1657"/>
      <c r="C1296" s="1816"/>
      <c r="D1296" s="1553"/>
      <c r="E1296" s="1988"/>
      <c r="F1296" s="1553"/>
      <c r="G1296" s="1989"/>
      <c r="H1296" s="153"/>
      <c r="I1296" s="153"/>
      <c r="J1296" s="153"/>
      <c r="K1296" s="153"/>
      <c r="L1296" s="153"/>
      <c r="M1296" s="153"/>
      <c r="N1296" s="153"/>
      <c r="O1296" s="153"/>
      <c r="P1296" s="153"/>
      <c r="Q1296" s="153"/>
      <c r="R1296" s="153"/>
      <c r="S1296" s="207"/>
      <c r="T1296" s="153"/>
      <c r="U1296" s="153"/>
      <c r="V1296" s="153"/>
      <c r="W1296" s="91"/>
      <c r="X1296" s="92"/>
      <c r="Y1296" s="155"/>
      <c r="Z1296" s="153"/>
      <c r="AA1296" s="153"/>
      <c r="AB1296" s="153"/>
      <c r="AC1296" s="153"/>
      <c r="AD1296" s="153"/>
      <c r="AE1296" s="153"/>
      <c r="AF1296" s="153"/>
      <c r="AG1296" s="153"/>
      <c r="AH1296" s="153"/>
      <c r="AI1296" s="153"/>
      <c r="AJ1296" s="153"/>
      <c r="AK1296" s="153"/>
      <c r="AL1296" s="69"/>
      <c r="AM1296" s="69"/>
      <c r="AN1296" s="1489"/>
      <c r="AO1296" s="71"/>
      <c r="AP1296" s="69" t="s">
        <v>3</v>
      </c>
      <c r="AQ1296" s="1752"/>
      <c r="AR1296" s="295"/>
      <c r="AS1296" s="121"/>
      <c r="AT1296" s="121"/>
      <c r="AU1296" s="121"/>
      <c r="AV1296" s="121"/>
      <c r="AW1296" s="121"/>
      <c r="AX1296" s="121"/>
      <c r="AY1296" s="121"/>
      <c r="AZ1296" s="121"/>
      <c r="BA1296" s="121"/>
      <c r="BB1296" s="121"/>
      <c r="BC1296" s="121"/>
      <c r="BD1296" s="121"/>
      <c r="BE1296" s="121"/>
      <c r="BF1296" s="121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21"/>
      <c r="BS1296" s="121"/>
      <c r="BT1296" s="121"/>
      <c r="BU1296" s="121"/>
      <c r="BV1296" s="121"/>
      <c r="BW1296" s="121"/>
      <c r="BX1296" s="121"/>
      <c r="BY1296" s="121"/>
      <c r="BZ1296" s="121"/>
      <c r="CA1296" s="121"/>
      <c r="CB1296" s="121"/>
      <c r="CC1296" s="121"/>
      <c r="CD1296" s="121"/>
      <c r="CE1296" s="121"/>
      <c r="CF1296" s="121"/>
      <c r="CG1296" s="121"/>
      <c r="CH1296" s="121"/>
    </row>
    <row r="1297" spans="1:86" s="122" customFormat="1" ht="21.75" hidden="1" customHeight="1" x14ac:dyDescent="0.2">
      <c r="A1297" s="1603">
        <v>30</v>
      </c>
      <c r="B1297" s="1656">
        <v>3399243</v>
      </c>
      <c r="C1297" s="1966" t="s">
        <v>560</v>
      </c>
      <c r="D1297" s="1705">
        <v>3</v>
      </c>
      <c r="E1297" s="1968">
        <v>13500</v>
      </c>
      <c r="F1297" s="1705">
        <v>1</v>
      </c>
      <c r="G1297" s="1968">
        <f>F1297*4500</f>
        <v>4500</v>
      </c>
      <c r="H1297" s="153"/>
      <c r="I1297" s="153"/>
      <c r="J1297" s="153"/>
      <c r="K1297" s="153"/>
      <c r="L1297" s="153"/>
      <c r="M1297" s="153"/>
      <c r="N1297" s="153"/>
      <c r="O1297" s="153"/>
      <c r="P1297" s="153"/>
      <c r="Q1297" s="153"/>
      <c r="R1297" s="153"/>
      <c r="S1297" s="207"/>
      <c r="T1297" s="153"/>
      <c r="U1297" s="153"/>
      <c r="V1297" s="153"/>
      <c r="W1297" s="91"/>
      <c r="X1297" s="92"/>
      <c r="Y1297" s="155"/>
      <c r="Z1297" s="153"/>
      <c r="AA1297" s="153"/>
      <c r="AB1297" s="153"/>
      <c r="AC1297" s="153"/>
      <c r="AD1297" s="153"/>
      <c r="AE1297" s="153"/>
      <c r="AF1297" s="153"/>
      <c r="AG1297" s="153"/>
      <c r="AH1297" s="153"/>
      <c r="AI1297" s="153"/>
      <c r="AJ1297" s="153"/>
      <c r="AK1297" s="153"/>
      <c r="AL1297" s="69" t="s">
        <v>441</v>
      </c>
      <c r="AM1297" s="69" t="s">
        <v>523</v>
      </c>
      <c r="AN1297" s="1488" t="s">
        <v>495</v>
      </c>
      <c r="AO1297" s="70"/>
      <c r="AP1297" s="69" t="s">
        <v>2</v>
      </c>
      <c r="AQ1297" s="1751">
        <f>AO1297*8000</f>
        <v>0</v>
      </c>
      <c r="AR1297" s="295"/>
      <c r="AS1297" s="121"/>
      <c r="AT1297" s="121"/>
      <c r="AU1297" s="121"/>
      <c r="AV1297" s="121"/>
      <c r="AW1297" s="121"/>
      <c r="AX1297" s="121"/>
      <c r="AY1297" s="121"/>
      <c r="AZ1297" s="121"/>
      <c r="BA1297" s="121"/>
      <c r="BB1297" s="121"/>
      <c r="BC1297" s="121"/>
      <c r="BD1297" s="121"/>
      <c r="BE1297" s="121"/>
      <c r="BF1297" s="121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21"/>
      <c r="BS1297" s="121"/>
      <c r="BT1297" s="121"/>
      <c r="BU1297" s="121"/>
      <c r="BV1297" s="121"/>
      <c r="BW1297" s="121"/>
      <c r="BX1297" s="121"/>
      <c r="BY1297" s="121"/>
      <c r="BZ1297" s="121"/>
      <c r="CA1297" s="121"/>
      <c r="CB1297" s="121"/>
      <c r="CC1297" s="121"/>
      <c r="CD1297" s="121"/>
      <c r="CE1297" s="121"/>
      <c r="CF1297" s="121"/>
      <c r="CG1297" s="121"/>
      <c r="CH1297" s="121"/>
    </row>
    <row r="1298" spans="1:86" s="122" customFormat="1" ht="21.75" hidden="1" customHeight="1" thickBot="1" x14ac:dyDescent="0.25">
      <c r="A1298" s="1604"/>
      <c r="B1298" s="1657"/>
      <c r="C1298" s="1967"/>
      <c r="D1298" s="1705"/>
      <c r="E1298" s="1968"/>
      <c r="F1298" s="1705"/>
      <c r="G1298" s="1968"/>
      <c r="H1298" s="153"/>
      <c r="I1298" s="153"/>
      <c r="J1298" s="153"/>
      <c r="K1298" s="153"/>
      <c r="L1298" s="153"/>
      <c r="M1298" s="153"/>
      <c r="N1298" s="153"/>
      <c r="O1298" s="153"/>
      <c r="P1298" s="153"/>
      <c r="Q1298" s="153"/>
      <c r="R1298" s="153"/>
      <c r="S1298" s="207"/>
      <c r="T1298" s="153"/>
      <c r="U1298" s="153"/>
      <c r="V1298" s="153"/>
      <c r="W1298" s="91"/>
      <c r="X1298" s="92"/>
      <c r="Y1298" s="155"/>
      <c r="Z1298" s="153"/>
      <c r="AA1298" s="153"/>
      <c r="AB1298" s="153"/>
      <c r="AC1298" s="153"/>
      <c r="AD1298" s="153"/>
      <c r="AE1298" s="153"/>
      <c r="AF1298" s="1198"/>
      <c r="AG1298" s="1198"/>
      <c r="AH1298" s="1198"/>
      <c r="AI1298" s="1198"/>
      <c r="AJ1298" s="1198"/>
      <c r="AK1298" s="1198"/>
      <c r="AL1298" s="1024"/>
      <c r="AM1298" s="1024"/>
      <c r="AN1298" s="1485"/>
      <c r="AO1298" s="77">
        <f>AO1297*4500</f>
        <v>0</v>
      </c>
      <c r="AP1298" s="1024" t="s">
        <v>3</v>
      </c>
      <c r="AQ1298" s="1993"/>
      <c r="AR1298" s="295"/>
      <c r="AS1298" s="121"/>
      <c r="AT1298" s="121"/>
      <c r="AU1298" s="121"/>
      <c r="AV1298" s="121"/>
      <c r="AW1298" s="121"/>
      <c r="AX1298" s="121"/>
      <c r="AY1298" s="121"/>
      <c r="AZ1298" s="121"/>
      <c r="BA1298" s="121"/>
      <c r="BB1298" s="121"/>
      <c r="BC1298" s="121"/>
      <c r="BD1298" s="121"/>
      <c r="BE1298" s="121"/>
      <c r="BF1298" s="121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21"/>
      <c r="BS1298" s="121"/>
      <c r="BT1298" s="121"/>
      <c r="BU1298" s="121"/>
      <c r="BV1298" s="121"/>
      <c r="BW1298" s="121"/>
      <c r="BX1298" s="121"/>
      <c r="BY1298" s="121"/>
      <c r="BZ1298" s="121"/>
      <c r="CA1298" s="121"/>
      <c r="CB1298" s="121"/>
      <c r="CC1298" s="121"/>
      <c r="CD1298" s="121"/>
      <c r="CE1298" s="121"/>
      <c r="CF1298" s="121"/>
      <c r="CG1298" s="121"/>
      <c r="CH1298" s="121"/>
    </row>
    <row r="1299" spans="1:86" s="122" customFormat="1" ht="21.75" customHeight="1" x14ac:dyDescent="0.2">
      <c r="A1299" s="1603">
        <v>19</v>
      </c>
      <c r="B1299" s="1656">
        <v>3399238</v>
      </c>
      <c r="C1299" s="1704" t="s">
        <v>685</v>
      </c>
      <c r="D1299" s="1705">
        <v>5.0999999999999996</v>
      </c>
      <c r="E1299" s="1968">
        <f>D1299*5000</f>
        <v>25500</v>
      </c>
      <c r="F1299" s="1705">
        <v>0.84</v>
      </c>
      <c r="G1299" s="1968">
        <f>F1299*5000</f>
        <v>4200</v>
      </c>
      <c r="H1299" s="73"/>
      <c r="I1299" s="73"/>
      <c r="J1299" s="73"/>
      <c r="K1299" s="73"/>
      <c r="L1299" s="73"/>
      <c r="M1299" s="73"/>
      <c r="N1299" s="73"/>
      <c r="O1299" s="73"/>
      <c r="P1299" s="73"/>
      <c r="Q1299" s="73"/>
      <c r="R1299" s="73"/>
      <c r="S1299" s="210"/>
      <c r="T1299" s="73"/>
      <c r="U1299" s="73"/>
      <c r="V1299" s="73"/>
      <c r="W1299" s="74"/>
      <c r="X1299" s="75"/>
      <c r="Y1299" s="76"/>
      <c r="Z1299" s="1486" t="s">
        <v>441</v>
      </c>
      <c r="AA1299" s="1486" t="s">
        <v>1511</v>
      </c>
      <c r="AB1299" s="2415" t="s">
        <v>495</v>
      </c>
      <c r="AC1299" s="70">
        <v>0.84</v>
      </c>
      <c r="AD1299" s="69" t="s">
        <v>2</v>
      </c>
      <c r="AE1299" s="2495">
        <v>6369.5195999999996</v>
      </c>
      <c r="AF1299" s="1199"/>
      <c r="AG1299" s="1199"/>
      <c r="AH1299" s="1200"/>
      <c r="AI1299" s="1201"/>
      <c r="AJ1299" s="1202"/>
      <c r="AK1299" s="2497"/>
      <c r="AL1299" s="990"/>
      <c r="AM1299" s="990"/>
      <c r="AN1299" s="627"/>
      <c r="AO1299" s="78"/>
      <c r="AP1299" s="990"/>
      <c r="AQ1299" s="743"/>
      <c r="AR1299" s="295"/>
      <c r="AS1299" s="121"/>
      <c r="AT1299" s="121"/>
      <c r="AU1299" s="121"/>
      <c r="AV1299" s="121"/>
      <c r="AW1299" s="121"/>
      <c r="AX1299" s="121"/>
      <c r="AY1299" s="121"/>
      <c r="AZ1299" s="121"/>
      <c r="BA1299" s="121"/>
      <c r="BB1299" s="121"/>
      <c r="BC1299" s="121"/>
      <c r="BD1299" s="121"/>
      <c r="BE1299" s="121"/>
      <c r="BF1299" s="121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21"/>
      <c r="BS1299" s="121"/>
      <c r="BT1299" s="121"/>
      <c r="BU1299" s="121"/>
      <c r="BV1299" s="121"/>
      <c r="BW1299" s="121"/>
      <c r="BX1299" s="121"/>
      <c r="BY1299" s="121"/>
      <c r="BZ1299" s="121"/>
      <c r="CA1299" s="121"/>
      <c r="CB1299" s="121"/>
      <c r="CC1299" s="121"/>
      <c r="CD1299" s="121"/>
      <c r="CE1299" s="121"/>
      <c r="CF1299" s="121"/>
      <c r="CG1299" s="121"/>
      <c r="CH1299" s="121"/>
    </row>
    <row r="1300" spans="1:86" s="122" customFormat="1" ht="21.75" customHeight="1" x14ac:dyDescent="0.2">
      <c r="A1300" s="1604"/>
      <c r="B1300" s="1657"/>
      <c r="C1300" s="1704"/>
      <c r="D1300" s="1705"/>
      <c r="E1300" s="1968"/>
      <c r="F1300" s="1705"/>
      <c r="G1300" s="1968"/>
      <c r="H1300" s="73"/>
      <c r="I1300" s="73"/>
      <c r="J1300" s="73"/>
      <c r="K1300" s="73"/>
      <c r="L1300" s="73"/>
      <c r="M1300" s="73"/>
      <c r="N1300" s="73"/>
      <c r="O1300" s="73"/>
      <c r="P1300" s="73"/>
      <c r="Q1300" s="73"/>
      <c r="R1300" s="73"/>
      <c r="S1300" s="210"/>
      <c r="T1300" s="73"/>
      <c r="U1300" s="73"/>
      <c r="V1300" s="73"/>
      <c r="W1300" s="74"/>
      <c r="X1300" s="75"/>
      <c r="Y1300" s="76"/>
      <c r="Z1300" s="2414"/>
      <c r="AA1300" s="2414"/>
      <c r="AB1300" s="2416"/>
      <c r="AC1300" s="77"/>
      <c r="AD1300" s="1024" t="s">
        <v>3</v>
      </c>
      <c r="AE1300" s="2495"/>
      <c r="AF1300" s="1199"/>
      <c r="AG1300" s="1199"/>
      <c r="AH1300" s="1200"/>
      <c r="AI1300" s="1203"/>
      <c r="AJ1300" s="1202"/>
      <c r="AK1300" s="2497"/>
      <c r="AL1300" s="990"/>
      <c r="AM1300" s="990"/>
      <c r="AN1300" s="627"/>
      <c r="AO1300" s="741"/>
      <c r="AP1300" s="990"/>
      <c r="AQ1300" s="743"/>
      <c r="AR1300" s="295"/>
      <c r="AS1300" s="121"/>
      <c r="AT1300" s="121"/>
      <c r="AU1300" s="121"/>
      <c r="AV1300" s="121"/>
      <c r="AW1300" s="121"/>
      <c r="AX1300" s="121"/>
      <c r="AY1300" s="121"/>
      <c r="AZ1300" s="121"/>
      <c r="BA1300" s="121"/>
      <c r="BB1300" s="121"/>
      <c r="BC1300" s="121"/>
      <c r="BD1300" s="121"/>
      <c r="BE1300" s="121"/>
      <c r="BF1300" s="121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21"/>
      <c r="BS1300" s="121"/>
      <c r="BT1300" s="121"/>
      <c r="BU1300" s="121"/>
      <c r="BV1300" s="121"/>
      <c r="BW1300" s="121"/>
      <c r="BX1300" s="121"/>
      <c r="BY1300" s="121"/>
      <c r="BZ1300" s="121"/>
      <c r="CA1300" s="121"/>
      <c r="CB1300" s="121"/>
      <c r="CC1300" s="121"/>
      <c r="CD1300" s="121"/>
      <c r="CE1300" s="121"/>
      <c r="CF1300" s="121"/>
      <c r="CG1300" s="121"/>
      <c r="CH1300" s="121"/>
    </row>
    <row r="1301" spans="1:86" s="122" customFormat="1" ht="24" customHeight="1" x14ac:dyDescent="0.2">
      <c r="A1301" s="1603">
        <v>20</v>
      </c>
      <c r="B1301" s="1656">
        <v>3399217</v>
      </c>
      <c r="C1301" s="1704" t="s">
        <v>686</v>
      </c>
      <c r="D1301" s="1705">
        <v>0.43</v>
      </c>
      <c r="E1301" s="1968">
        <v>2000</v>
      </c>
      <c r="F1301" s="1705">
        <v>0.43</v>
      </c>
      <c r="G1301" s="1968">
        <v>2000</v>
      </c>
      <c r="H1301" s="73"/>
      <c r="I1301" s="73"/>
      <c r="J1301" s="73"/>
      <c r="K1301" s="73"/>
      <c r="L1301" s="73"/>
      <c r="M1301" s="73"/>
      <c r="N1301" s="73"/>
      <c r="O1301" s="73"/>
      <c r="P1301" s="73"/>
      <c r="Q1301" s="73"/>
      <c r="R1301" s="73"/>
      <c r="S1301" s="210"/>
      <c r="T1301" s="73"/>
      <c r="U1301" s="73"/>
      <c r="V1301" s="73"/>
      <c r="W1301" s="74"/>
      <c r="X1301" s="75"/>
      <c r="Y1301" s="76"/>
      <c r="Z1301" s="872"/>
      <c r="AA1301" s="872"/>
      <c r="AB1301" s="872"/>
      <c r="AC1301" s="872"/>
      <c r="AD1301" s="872"/>
      <c r="AE1301" s="872"/>
      <c r="AF1301" s="1486" t="s">
        <v>441</v>
      </c>
      <c r="AG1301" s="1486" t="s">
        <v>1491</v>
      </c>
      <c r="AH1301" s="1487" t="s">
        <v>495</v>
      </c>
      <c r="AI1301" s="78">
        <v>0.4</v>
      </c>
      <c r="AJ1301" s="990" t="s">
        <v>2</v>
      </c>
      <c r="AK1301" s="2498">
        <v>5983.1580000000004</v>
      </c>
      <c r="AL1301" s="744"/>
      <c r="AM1301" s="744"/>
      <c r="AN1301" s="627"/>
      <c r="AO1301" s="78"/>
      <c r="AP1301" s="990"/>
      <c r="AQ1301" s="743"/>
      <c r="AR1301" s="295"/>
      <c r="AS1301" s="121"/>
      <c r="AT1301" s="121"/>
      <c r="AU1301" s="121"/>
      <c r="AV1301" s="121"/>
      <c r="AW1301" s="121"/>
      <c r="AX1301" s="121"/>
      <c r="AY1301" s="121"/>
      <c r="AZ1301" s="121"/>
      <c r="BA1301" s="121"/>
      <c r="BB1301" s="121"/>
      <c r="BC1301" s="121"/>
      <c r="BD1301" s="121"/>
      <c r="BE1301" s="121"/>
      <c r="BF1301" s="121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21"/>
      <c r="BS1301" s="121"/>
      <c r="BT1301" s="121"/>
      <c r="BU1301" s="121"/>
      <c r="BV1301" s="121"/>
      <c r="BW1301" s="121"/>
      <c r="BX1301" s="121"/>
      <c r="BY1301" s="121"/>
      <c r="BZ1301" s="121"/>
      <c r="CA1301" s="121"/>
      <c r="CB1301" s="121"/>
      <c r="CC1301" s="121"/>
      <c r="CD1301" s="121"/>
      <c r="CE1301" s="121"/>
      <c r="CF1301" s="121"/>
      <c r="CG1301" s="121"/>
      <c r="CH1301" s="121"/>
    </row>
    <row r="1302" spans="1:86" s="122" customFormat="1" ht="22.5" customHeight="1" x14ac:dyDescent="0.2">
      <c r="A1302" s="1604"/>
      <c r="B1302" s="1657"/>
      <c r="C1302" s="1704"/>
      <c r="D1302" s="1706"/>
      <c r="E1302" s="1972"/>
      <c r="F1302" s="1706"/>
      <c r="G1302" s="1972"/>
      <c r="H1302" s="733"/>
      <c r="I1302" s="733"/>
      <c r="J1302" s="733"/>
      <c r="K1302" s="733"/>
      <c r="L1302" s="733"/>
      <c r="M1302" s="733"/>
      <c r="N1302" s="733"/>
      <c r="O1302" s="733"/>
      <c r="P1302" s="733"/>
      <c r="Q1302" s="733"/>
      <c r="R1302" s="733"/>
      <c r="S1302" s="734"/>
      <c r="T1302" s="733"/>
      <c r="U1302" s="733"/>
      <c r="V1302" s="733"/>
      <c r="W1302" s="735"/>
      <c r="X1302" s="736"/>
      <c r="Y1302" s="737"/>
      <c r="Z1302" s="733"/>
      <c r="AA1302" s="733"/>
      <c r="AB1302" s="733"/>
      <c r="AC1302" s="733"/>
      <c r="AD1302" s="733"/>
      <c r="AE1302" s="733"/>
      <c r="AF1302" s="1486"/>
      <c r="AG1302" s="1486"/>
      <c r="AH1302" s="1487"/>
      <c r="AI1302" s="741">
        <v>2000</v>
      </c>
      <c r="AJ1302" s="990" t="s">
        <v>3</v>
      </c>
      <c r="AK1302" s="2498"/>
      <c r="AL1302" s="744"/>
      <c r="AM1302" s="744"/>
      <c r="AN1302" s="627"/>
      <c r="AO1302" s="741"/>
      <c r="AP1302" s="990"/>
      <c r="AQ1302" s="743"/>
      <c r="AR1302" s="295"/>
      <c r="AS1302" s="121"/>
      <c r="AT1302" s="121"/>
      <c r="AU1302" s="121"/>
      <c r="AV1302" s="121"/>
      <c r="AW1302" s="121"/>
      <c r="AX1302" s="121"/>
      <c r="AY1302" s="121"/>
      <c r="AZ1302" s="121"/>
      <c r="BA1302" s="121"/>
      <c r="BB1302" s="121"/>
      <c r="BC1302" s="121"/>
      <c r="BD1302" s="121"/>
      <c r="BE1302" s="121"/>
      <c r="BF1302" s="121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21"/>
      <c r="BS1302" s="121"/>
      <c r="BT1302" s="121"/>
      <c r="BU1302" s="121"/>
      <c r="BV1302" s="121"/>
      <c r="BW1302" s="121"/>
      <c r="BX1302" s="121"/>
      <c r="BY1302" s="121"/>
      <c r="BZ1302" s="121"/>
      <c r="CA1302" s="121"/>
      <c r="CB1302" s="121"/>
      <c r="CC1302" s="121"/>
      <c r="CD1302" s="121"/>
      <c r="CE1302" s="121"/>
      <c r="CF1302" s="121"/>
      <c r="CG1302" s="121"/>
      <c r="CH1302" s="121"/>
    </row>
    <row r="1303" spans="1:86" s="122" customFormat="1" ht="22.5" customHeight="1" x14ac:dyDescent="0.2">
      <c r="A1303" s="1603">
        <v>21</v>
      </c>
      <c r="B1303" s="1656">
        <v>2246186</v>
      </c>
      <c r="C1303" s="1970" t="s">
        <v>1513</v>
      </c>
      <c r="D1303" s="1706">
        <v>0.56999999999999995</v>
      </c>
      <c r="E1303" s="1972">
        <f>D1303*5000</f>
        <v>2849.9999999999995</v>
      </c>
      <c r="F1303" s="1706">
        <v>0.56999999999999995</v>
      </c>
      <c r="G1303" s="1972">
        <f>F1303*5000</f>
        <v>2849.9999999999995</v>
      </c>
      <c r="H1303" s="75"/>
      <c r="I1303" s="75"/>
      <c r="J1303" s="75"/>
      <c r="K1303" s="75"/>
      <c r="L1303" s="75"/>
      <c r="M1303" s="75"/>
      <c r="N1303" s="75"/>
      <c r="O1303" s="75"/>
      <c r="P1303" s="75"/>
      <c r="Q1303" s="75"/>
      <c r="R1303" s="75"/>
      <c r="S1303" s="739"/>
      <c r="T1303" s="75"/>
      <c r="U1303" s="75"/>
      <c r="V1303" s="75"/>
      <c r="W1303" s="74"/>
      <c r="X1303" s="75"/>
      <c r="Y1303" s="740"/>
      <c r="Z1303" s="75"/>
      <c r="AA1303" s="75"/>
      <c r="AB1303" s="75"/>
      <c r="AC1303" s="75"/>
      <c r="AD1303" s="75"/>
      <c r="AE1303" s="75"/>
      <c r="AF1303" s="1486" t="s">
        <v>441</v>
      </c>
      <c r="AG1303" s="1486" t="s">
        <v>528</v>
      </c>
      <c r="AH1303" s="1487" t="s">
        <v>495</v>
      </c>
      <c r="AI1303" s="78">
        <v>0.56999999999999995</v>
      </c>
      <c r="AJ1303" s="990" t="s">
        <v>2</v>
      </c>
      <c r="AK1303" s="2498">
        <v>9360</v>
      </c>
      <c r="AL1303" s="990"/>
      <c r="AM1303" s="990"/>
      <c r="AN1303" s="989"/>
      <c r="AO1303" s="741"/>
      <c r="AP1303" s="990"/>
      <c r="AQ1303" s="710"/>
      <c r="AR1303" s="295"/>
      <c r="AS1303" s="121"/>
      <c r="AT1303" s="121"/>
      <c r="AU1303" s="121"/>
      <c r="AV1303" s="121"/>
      <c r="AW1303" s="121"/>
      <c r="AX1303" s="121"/>
      <c r="AY1303" s="121"/>
      <c r="AZ1303" s="121"/>
      <c r="BA1303" s="121"/>
      <c r="BB1303" s="121"/>
      <c r="BC1303" s="121"/>
      <c r="BD1303" s="121"/>
      <c r="BE1303" s="121"/>
      <c r="BF1303" s="121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21"/>
      <c r="BS1303" s="121"/>
      <c r="BT1303" s="121"/>
      <c r="BU1303" s="121"/>
      <c r="BV1303" s="121"/>
      <c r="BW1303" s="121"/>
      <c r="BX1303" s="121"/>
      <c r="BY1303" s="121"/>
      <c r="BZ1303" s="121"/>
      <c r="CA1303" s="121"/>
      <c r="CB1303" s="121"/>
      <c r="CC1303" s="121"/>
      <c r="CD1303" s="121"/>
      <c r="CE1303" s="121"/>
      <c r="CF1303" s="121"/>
      <c r="CG1303" s="121"/>
      <c r="CH1303" s="121"/>
    </row>
    <row r="1304" spans="1:86" s="122" customFormat="1" ht="22.5" customHeight="1" x14ac:dyDescent="0.2">
      <c r="A1304" s="1604"/>
      <c r="B1304" s="1657"/>
      <c r="C1304" s="1971"/>
      <c r="D1304" s="1969"/>
      <c r="E1304" s="1973"/>
      <c r="F1304" s="1969"/>
      <c r="G1304" s="1973"/>
      <c r="H1304" s="75"/>
      <c r="I1304" s="75"/>
      <c r="J1304" s="75"/>
      <c r="K1304" s="75"/>
      <c r="L1304" s="75"/>
      <c r="M1304" s="75"/>
      <c r="N1304" s="75"/>
      <c r="O1304" s="75"/>
      <c r="P1304" s="75"/>
      <c r="Q1304" s="75"/>
      <c r="R1304" s="75"/>
      <c r="S1304" s="739"/>
      <c r="T1304" s="75"/>
      <c r="U1304" s="75"/>
      <c r="V1304" s="75"/>
      <c r="W1304" s="74"/>
      <c r="X1304" s="75"/>
      <c r="Y1304" s="740"/>
      <c r="Z1304" s="75"/>
      <c r="AA1304" s="75"/>
      <c r="AB1304" s="75"/>
      <c r="AC1304" s="75"/>
      <c r="AD1304" s="75"/>
      <c r="AE1304" s="75"/>
      <c r="AF1304" s="1486"/>
      <c r="AG1304" s="1486"/>
      <c r="AH1304" s="1487"/>
      <c r="AI1304" s="741">
        <v>2850</v>
      </c>
      <c r="AJ1304" s="990" t="s">
        <v>3</v>
      </c>
      <c r="AK1304" s="2498"/>
      <c r="AL1304" s="990"/>
      <c r="AM1304" s="990"/>
      <c r="AN1304" s="989"/>
      <c r="AO1304" s="741"/>
      <c r="AP1304" s="990"/>
      <c r="AQ1304" s="710"/>
      <c r="AR1304" s="295"/>
      <c r="AS1304" s="121"/>
      <c r="AT1304" s="121"/>
      <c r="AU1304" s="121"/>
      <c r="AV1304" s="121"/>
      <c r="AW1304" s="121"/>
      <c r="AX1304" s="121"/>
      <c r="AY1304" s="121"/>
      <c r="AZ1304" s="121"/>
      <c r="BA1304" s="121"/>
      <c r="BB1304" s="121"/>
      <c r="BC1304" s="121"/>
      <c r="BD1304" s="121"/>
      <c r="BE1304" s="121"/>
      <c r="BF1304" s="121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21"/>
      <c r="BS1304" s="121"/>
      <c r="BT1304" s="121"/>
      <c r="BU1304" s="121"/>
      <c r="BV1304" s="121"/>
      <c r="BW1304" s="121"/>
      <c r="BX1304" s="121"/>
      <c r="BY1304" s="121"/>
      <c r="BZ1304" s="121"/>
      <c r="CA1304" s="121"/>
      <c r="CB1304" s="121"/>
      <c r="CC1304" s="121"/>
      <c r="CD1304" s="121"/>
      <c r="CE1304" s="121"/>
      <c r="CF1304" s="121"/>
      <c r="CG1304" s="121"/>
      <c r="CH1304" s="121"/>
    </row>
    <row r="1305" spans="1:86" s="122" customFormat="1" ht="31.5" customHeight="1" x14ac:dyDescent="0.2">
      <c r="A1305" s="2381">
        <v>22</v>
      </c>
      <c r="B1305" s="1644">
        <v>3399217</v>
      </c>
      <c r="C1305" s="1997" t="s">
        <v>1537</v>
      </c>
      <c r="D1305" s="1550">
        <v>1.7</v>
      </c>
      <c r="E1305" s="1541">
        <f>D1305*4000</f>
        <v>6800</v>
      </c>
      <c r="F1305" s="1550">
        <v>1</v>
      </c>
      <c r="G1305" s="1541">
        <f>F1305*4000</f>
        <v>4000</v>
      </c>
      <c r="H1305" s="153"/>
      <c r="I1305" s="153"/>
      <c r="J1305" s="153"/>
      <c r="K1305" s="153"/>
      <c r="L1305" s="153"/>
      <c r="M1305" s="153"/>
      <c r="N1305" s="153"/>
      <c r="O1305" s="153"/>
      <c r="P1305" s="153"/>
      <c r="Q1305" s="153"/>
      <c r="R1305" s="153"/>
      <c r="S1305" s="207"/>
      <c r="T1305" s="153"/>
      <c r="U1305" s="153"/>
      <c r="V1305" s="153"/>
      <c r="W1305" s="1018"/>
      <c r="X1305" s="153"/>
      <c r="Y1305" s="155"/>
      <c r="Z1305" s="153"/>
      <c r="AA1305" s="153"/>
      <c r="AB1305" s="153"/>
      <c r="AC1305" s="153"/>
      <c r="AD1305" s="153"/>
      <c r="AE1305" s="153"/>
      <c r="AF1305" s="65"/>
      <c r="AG1305" s="65"/>
      <c r="AH1305" s="627"/>
      <c r="AI1305" s="263"/>
      <c r="AJ1305" s="988"/>
      <c r="AK1305" s="742"/>
      <c r="AL1305" s="2383" t="s">
        <v>441</v>
      </c>
      <c r="AM1305" s="2383" t="s">
        <v>520</v>
      </c>
      <c r="AN1305" s="1487" t="s">
        <v>495</v>
      </c>
      <c r="AO1305" s="263">
        <v>1</v>
      </c>
      <c r="AP1305" s="988" t="s">
        <v>2</v>
      </c>
      <c r="AQ1305" s="2384">
        <v>7650</v>
      </c>
      <c r="AR1305" s="246"/>
      <c r="AS1305" s="121"/>
      <c r="AT1305" s="121"/>
      <c r="AU1305" s="121"/>
      <c r="AV1305" s="121"/>
      <c r="AW1305" s="121"/>
      <c r="AX1305" s="121"/>
      <c r="AY1305" s="121"/>
      <c r="AZ1305" s="121"/>
      <c r="BA1305" s="121"/>
      <c r="BB1305" s="121"/>
      <c r="BC1305" s="121"/>
      <c r="BD1305" s="121"/>
      <c r="BE1305" s="121"/>
      <c r="BF1305" s="121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21"/>
      <c r="BS1305" s="121"/>
      <c r="BT1305" s="121"/>
      <c r="BU1305" s="121"/>
      <c r="BV1305" s="121"/>
      <c r="BW1305" s="121"/>
      <c r="BX1305" s="121"/>
      <c r="BY1305" s="121"/>
      <c r="BZ1305" s="121"/>
      <c r="CA1305" s="121"/>
      <c r="CB1305" s="121"/>
      <c r="CC1305" s="121"/>
      <c r="CD1305" s="121"/>
      <c r="CE1305" s="121"/>
      <c r="CF1305" s="121"/>
      <c r="CG1305" s="121"/>
      <c r="CH1305" s="121"/>
    </row>
    <row r="1306" spans="1:86" s="122" customFormat="1" ht="22.5" customHeight="1" x14ac:dyDescent="0.2">
      <c r="A1306" s="2382"/>
      <c r="B1306" s="1506"/>
      <c r="C1306" s="1998"/>
      <c r="D1306" s="1551"/>
      <c r="E1306" s="1542"/>
      <c r="F1306" s="1551"/>
      <c r="G1306" s="1542"/>
      <c r="H1306" s="153"/>
      <c r="I1306" s="153"/>
      <c r="J1306" s="153"/>
      <c r="K1306" s="153"/>
      <c r="L1306" s="153"/>
      <c r="M1306" s="153"/>
      <c r="N1306" s="153"/>
      <c r="O1306" s="153"/>
      <c r="P1306" s="153"/>
      <c r="Q1306" s="153"/>
      <c r="R1306" s="153"/>
      <c r="S1306" s="207"/>
      <c r="T1306" s="153"/>
      <c r="U1306" s="153"/>
      <c r="V1306" s="153"/>
      <c r="W1306" s="91"/>
      <c r="X1306" s="92"/>
      <c r="Y1306" s="155"/>
      <c r="Z1306" s="153"/>
      <c r="AA1306" s="153"/>
      <c r="AB1306" s="153"/>
      <c r="AC1306" s="153"/>
      <c r="AD1306" s="153"/>
      <c r="AE1306" s="153"/>
      <c r="AF1306" s="65"/>
      <c r="AG1306" s="65"/>
      <c r="AH1306" s="627"/>
      <c r="AI1306" s="67"/>
      <c r="AJ1306" s="988"/>
      <c r="AK1306" s="742"/>
      <c r="AL1306" s="2383"/>
      <c r="AM1306" s="2383"/>
      <c r="AN1306" s="1487"/>
      <c r="AO1306" s="67">
        <v>4000</v>
      </c>
      <c r="AP1306" s="988" t="s">
        <v>3</v>
      </c>
      <c r="AQ1306" s="2384"/>
      <c r="AR1306" s="92"/>
      <c r="AS1306" s="121"/>
      <c r="AT1306" s="121"/>
      <c r="AU1306" s="121"/>
      <c r="AV1306" s="121"/>
      <c r="AW1306" s="121"/>
      <c r="AX1306" s="121"/>
      <c r="AY1306" s="121"/>
      <c r="AZ1306" s="121"/>
      <c r="BA1306" s="121"/>
      <c r="BB1306" s="121"/>
      <c r="BC1306" s="121"/>
      <c r="BD1306" s="121"/>
      <c r="BE1306" s="121"/>
      <c r="BF1306" s="121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21"/>
      <c r="BS1306" s="121"/>
      <c r="BT1306" s="121"/>
      <c r="BU1306" s="121"/>
      <c r="BV1306" s="121"/>
      <c r="BW1306" s="121"/>
      <c r="BX1306" s="121"/>
      <c r="BY1306" s="121"/>
      <c r="BZ1306" s="121"/>
      <c r="CA1306" s="121"/>
      <c r="CB1306" s="121"/>
      <c r="CC1306" s="121"/>
      <c r="CD1306" s="121"/>
      <c r="CE1306" s="121"/>
      <c r="CF1306" s="121"/>
      <c r="CG1306" s="121"/>
      <c r="CH1306" s="121"/>
    </row>
    <row r="1307" spans="1:86" s="59" customFormat="1" ht="29.25" customHeight="1" thickBot="1" x14ac:dyDescent="0.25">
      <c r="A1307" s="355"/>
      <c r="B1307" s="356"/>
      <c r="C1307" s="370" t="s">
        <v>1059</v>
      </c>
      <c r="D1307" s="707"/>
      <c r="E1307" s="707"/>
      <c r="F1307" s="707"/>
      <c r="G1307" s="707"/>
      <c r="H1307" s="706"/>
      <c r="I1307" s="706"/>
      <c r="J1307" s="706"/>
      <c r="K1307" s="706"/>
      <c r="L1307" s="706"/>
      <c r="M1307" s="706"/>
      <c r="N1307" s="706"/>
      <c r="O1307" s="706"/>
      <c r="P1307" s="706"/>
      <c r="Q1307" s="706"/>
      <c r="R1307" s="706"/>
      <c r="S1307" s="708"/>
      <c r="T1307" s="706"/>
      <c r="U1307" s="706"/>
      <c r="V1307" s="706"/>
      <c r="W1307" s="708">
        <f>W1308+W1323</f>
        <v>0.83</v>
      </c>
      <c r="X1307" s="706"/>
      <c r="Y1307" s="708">
        <f>Y1308+Y1323</f>
        <v>12229.6623</v>
      </c>
      <c r="Z1307" s="706"/>
      <c r="AA1307" s="706"/>
      <c r="AB1307" s="706"/>
      <c r="AC1307" s="706">
        <f>AC1308+AC1310+AC1323+AC1362+AC1365+AC1326+AC1312</f>
        <v>5.5440000000000005</v>
      </c>
      <c r="AD1307" s="706"/>
      <c r="AE1307" s="738">
        <f>AE1308+AE1310+AE1323+AE1362+AE1365+AE1326+AE1312</f>
        <v>56547.368000000002</v>
      </c>
      <c r="AF1307" s="89"/>
      <c r="AG1307" s="89"/>
      <c r="AH1307" s="89"/>
      <c r="AI1307" s="89">
        <f>AI1329+AI1347+AI1368+AI1377+AI1326+AI1344+AI1312+AI1365</f>
        <v>7.2990000000000004</v>
      </c>
      <c r="AJ1307" s="89"/>
      <c r="AK1307" s="89">
        <f>AK1329+AK1347+AK1368+AK1377+AK1326+AK1344+AK1312+AK1365</f>
        <v>52423.579000000005</v>
      </c>
      <c r="AL1307" s="1012"/>
      <c r="AM1307" s="374"/>
      <c r="AN1307" s="89"/>
      <c r="AO1307" s="89">
        <f>AO1350+AO1353+AO1356+AO1359+AO1362+AO1365+AO1368+AO1371+AO1374+AO1377+AO1380+AO1347+AO1317+AO1320+AO1332+AO1335+AO1338+AO1383</f>
        <v>9.407</v>
      </c>
      <c r="AP1307" s="89"/>
      <c r="AQ1307" s="89">
        <f>AQ1350+AQ1353+AQ1356+AQ1359+AQ1362+AQ1365+AQ1368+AQ1371+AQ1374+AQ1377+AQ1380+AQ1347+AQ1317+AQ1320+AQ1332+AQ1335+AQ1338+AQ1383</f>
        <v>52423.578999999998</v>
      </c>
      <c r="AR1307" s="89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  <c r="BM1307" s="58"/>
      <c r="BN1307" s="58"/>
      <c r="BO1307" s="58"/>
      <c r="BP1307" s="58"/>
      <c r="BQ1307" s="58"/>
      <c r="BR1307" s="58"/>
      <c r="BS1307" s="58"/>
      <c r="BT1307" s="58"/>
      <c r="BU1307" s="58"/>
      <c r="BV1307" s="58"/>
      <c r="BW1307" s="58"/>
      <c r="BX1307" s="58"/>
      <c r="BY1307" s="58"/>
      <c r="BZ1307" s="58"/>
      <c r="CA1307" s="58"/>
      <c r="CB1307" s="58"/>
      <c r="CC1307" s="58"/>
      <c r="CD1307" s="58"/>
      <c r="CE1307" s="58"/>
      <c r="CF1307" s="58"/>
      <c r="CG1307" s="58"/>
      <c r="CH1307" s="58"/>
    </row>
    <row r="1308" spans="1:86" s="122" customFormat="1" ht="21.75" customHeight="1" x14ac:dyDescent="0.2">
      <c r="A1308" s="1626">
        <v>1</v>
      </c>
      <c r="B1308" s="1978">
        <v>3404394</v>
      </c>
      <c r="C1308" s="1780" t="s">
        <v>260</v>
      </c>
      <c r="D1308" s="1577">
        <v>7.25</v>
      </c>
      <c r="E1308" s="2099">
        <v>43500</v>
      </c>
      <c r="F1308" s="1577">
        <v>7.25</v>
      </c>
      <c r="G1308" s="2099">
        <v>43500</v>
      </c>
      <c r="H1308" s="383"/>
      <c r="I1308" s="383"/>
      <c r="J1308" s="383"/>
      <c r="K1308" s="383"/>
      <c r="L1308" s="383"/>
      <c r="M1308" s="383"/>
      <c r="N1308" s="383"/>
      <c r="O1308" s="383"/>
      <c r="P1308" s="383"/>
      <c r="Q1308" s="383"/>
      <c r="R1308" s="383"/>
      <c r="S1308" s="694"/>
      <c r="T1308" s="1344" t="s">
        <v>441</v>
      </c>
      <c r="U1308" s="1238" t="s">
        <v>1526</v>
      </c>
      <c r="V1308" s="1238" t="s">
        <v>536</v>
      </c>
      <c r="W1308" s="974"/>
      <c r="X1308" s="877" t="s">
        <v>2</v>
      </c>
      <c r="Y1308" s="2499">
        <v>3947.3307</v>
      </c>
      <c r="Z1308" s="1344" t="s">
        <v>441</v>
      </c>
      <c r="AA1308" s="1238" t="s">
        <v>1526</v>
      </c>
      <c r="AB1308" s="1238" t="s">
        <v>536</v>
      </c>
      <c r="AC1308" s="641">
        <v>1.25</v>
      </c>
      <c r="AD1308" s="877" t="s">
        <v>2</v>
      </c>
      <c r="AE1308" s="2500">
        <v>9623.1119999999992</v>
      </c>
      <c r="AF1308" s="354"/>
      <c r="AG1308" s="153"/>
      <c r="AH1308" s="153"/>
      <c r="AI1308" s="153"/>
      <c r="AJ1308" s="153"/>
      <c r="AK1308" s="1197"/>
      <c r="AL1308" s="153"/>
      <c r="AM1308" s="153"/>
      <c r="AN1308" s="153"/>
      <c r="AO1308" s="153"/>
      <c r="AP1308" s="153"/>
      <c r="AQ1308" s="1197"/>
      <c r="AR1308" s="153"/>
      <c r="AS1308" s="121"/>
      <c r="AT1308" s="121"/>
      <c r="AU1308" s="121"/>
      <c r="AV1308" s="121"/>
      <c r="AW1308" s="121"/>
      <c r="AX1308" s="121"/>
      <c r="AY1308" s="121"/>
      <c r="AZ1308" s="121"/>
      <c r="BA1308" s="121"/>
      <c r="BB1308" s="121"/>
      <c r="BC1308" s="121"/>
      <c r="BD1308" s="121"/>
      <c r="BE1308" s="121"/>
      <c r="BF1308" s="121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21"/>
      <c r="BS1308" s="121"/>
      <c r="BT1308" s="121"/>
      <c r="BU1308" s="121"/>
      <c r="BV1308" s="121"/>
      <c r="BW1308" s="121"/>
      <c r="BX1308" s="121"/>
      <c r="BY1308" s="121"/>
      <c r="BZ1308" s="121"/>
      <c r="CA1308" s="121"/>
      <c r="CB1308" s="121"/>
      <c r="CC1308" s="121"/>
      <c r="CD1308" s="121"/>
      <c r="CE1308" s="121"/>
      <c r="CF1308" s="121"/>
      <c r="CG1308" s="121"/>
      <c r="CH1308" s="121"/>
    </row>
    <row r="1309" spans="1:86" s="122" customFormat="1" ht="21.75" customHeight="1" thickBot="1" x14ac:dyDescent="0.25">
      <c r="A1309" s="1560"/>
      <c r="B1309" s="1979"/>
      <c r="C1309" s="1977"/>
      <c r="D1309" s="1627"/>
      <c r="E1309" s="2501"/>
      <c r="F1309" s="1627"/>
      <c r="G1309" s="2501"/>
      <c r="H1309" s="153"/>
      <c r="I1309" s="153"/>
      <c r="J1309" s="153"/>
      <c r="K1309" s="153"/>
      <c r="L1309" s="153"/>
      <c r="M1309" s="153"/>
      <c r="N1309" s="153"/>
      <c r="O1309" s="153"/>
      <c r="P1309" s="153"/>
      <c r="Q1309" s="153"/>
      <c r="R1309" s="153"/>
      <c r="S1309" s="695"/>
      <c r="T1309" s="2355"/>
      <c r="U1309" s="1239"/>
      <c r="V1309" s="1239"/>
      <c r="W1309" s="885"/>
      <c r="X1309" s="885" t="s">
        <v>537</v>
      </c>
      <c r="Y1309" s="2502"/>
      <c r="Z1309" s="1707"/>
      <c r="AA1309" s="1300"/>
      <c r="AB1309" s="1300"/>
      <c r="AC1309" s="936">
        <v>7500</v>
      </c>
      <c r="AD1309" s="936" t="s">
        <v>537</v>
      </c>
      <c r="AE1309" s="2503"/>
      <c r="AF1309" s="382"/>
      <c r="AG1309" s="153"/>
      <c r="AH1309" s="153"/>
      <c r="AI1309" s="153"/>
      <c r="AJ1309" s="153"/>
      <c r="AK1309" s="153"/>
      <c r="AL1309" s="153"/>
      <c r="AM1309" s="153"/>
      <c r="AN1309" s="153"/>
      <c r="AO1309" s="153"/>
      <c r="AP1309" s="153"/>
      <c r="AQ1309" s="153"/>
      <c r="AR1309" s="153"/>
      <c r="AS1309" s="121"/>
      <c r="AT1309" s="121"/>
      <c r="AU1309" s="121"/>
      <c r="AV1309" s="121"/>
      <c r="AW1309" s="121"/>
      <c r="AX1309" s="121"/>
      <c r="AY1309" s="121"/>
      <c r="AZ1309" s="121"/>
      <c r="BA1309" s="121"/>
      <c r="BB1309" s="121"/>
      <c r="BC1309" s="121"/>
      <c r="BD1309" s="121"/>
      <c r="BE1309" s="121"/>
      <c r="BF1309" s="121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21"/>
      <c r="BS1309" s="121"/>
      <c r="BT1309" s="121"/>
      <c r="BU1309" s="121"/>
      <c r="BV1309" s="121"/>
      <c r="BW1309" s="121"/>
      <c r="BX1309" s="121"/>
      <c r="BY1309" s="121"/>
      <c r="BZ1309" s="121"/>
      <c r="CA1309" s="121"/>
      <c r="CB1309" s="121"/>
      <c r="CC1309" s="121"/>
      <c r="CD1309" s="121"/>
      <c r="CE1309" s="121"/>
      <c r="CF1309" s="121"/>
      <c r="CG1309" s="121"/>
      <c r="CH1309" s="121"/>
    </row>
    <row r="1310" spans="1:86" s="122" customFormat="1" ht="21.75" customHeight="1" x14ac:dyDescent="0.2">
      <c r="A1310" s="1560"/>
      <c r="B1310" s="1979"/>
      <c r="C1310" s="1977"/>
      <c r="D1310" s="1627"/>
      <c r="E1310" s="2501"/>
      <c r="F1310" s="1627"/>
      <c r="G1310" s="2501"/>
      <c r="H1310" s="153"/>
      <c r="I1310" s="153"/>
      <c r="J1310" s="153"/>
      <c r="K1310" s="153"/>
      <c r="L1310" s="153"/>
      <c r="M1310" s="153"/>
      <c r="N1310" s="153"/>
      <c r="O1310" s="153"/>
      <c r="P1310" s="153"/>
      <c r="Q1310" s="153"/>
      <c r="R1310" s="153"/>
      <c r="S1310" s="695"/>
      <c r="T1310" s="941"/>
      <c r="U1310" s="877"/>
      <c r="V1310" s="877"/>
      <c r="W1310" s="877"/>
      <c r="X1310" s="877"/>
      <c r="Y1310" s="810"/>
      <c r="Z1310" s="803"/>
      <c r="AA1310" s="803"/>
      <c r="AB1310" s="803"/>
      <c r="AC1310" s="812"/>
      <c r="AD1310" s="1131"/>
      <c r="AE1310" s="813"/>
      <c r="AF1310" s="2504" t="s">
        <v>1526</v>
      </c>
      <c r="AG1310" s="1303" t="s">
        <v>1527</v>
      </c>
      <c r="AH1310" s="1238" t="s">
        <v>536</v>
      </c>
      <c r="AI1310" s="641">
        <v>6</v>
      </c>
      <c r="AJ1310" s="877" t="s">
        <v>2</v>
      </c>
      <c r="AK1310" s="2500">
        <f>41766.031-9419.583-411.828</f>
        <v>31934.620000000003</v>
      </c>
      <c r="AL1310" s="153"/>
      <c r="AM1310" s="153"/>
      <c r="AN1310" s="153"/>
      <c r="AO1310" s="153"/>
      <c r="AP1310" s="153"/>
      <c r="AQ1310" s="153"/>
      <c r="AR1310" s="153"/>
      <c r="AS1310" s="121"/>
      <c r="AT1310" s="121"/>
      <c r="AU1310" s="121"/>
      <c r="AV1310" s="121"/>
      <c r="AW1310" s="121"/>
      <c r="AX1310" s="121"/>
      <c r="AY1310" s="121"/>
      <c r="AZ1310" s="121"/>
      <c r="BA1310" s="121"/>
      <c r="BB1310" s="121"/>
      <c r="BC1310" s="121"/>
      <c r="BD1310" s="121"/>
      <c r="BE1310" s="121"/>
      <c r="BF1310" s="121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21"/>
      <c r="BS1310" s="121"/>
      <c r="BT1310" s="121"/>
      <c r="BU1310" s="121"/>
      <c r="BV1310" s="121"/>
      <c r="BW1310" s="121"/>
      <c r="BX1310" s="121"/>
      <c r="BY1310" s="121"/>
      <c r="BZ1310" s="121"/>
      <c r="CA1310" s="121"/>
      <c r="CB1310" s="121"/>
      <c r="CC1310" s="121"/>
      <c r="CD1310" s="121"/>
      <c r="CE1310" s="121"/>
      <c r="CF1310" s="121"/>
      <c r="CG1310" s="121"/>
      <c r="CH1310" s="121"/>
    </row>
    <row r="1311" spans="1:86" s="122" customFormat="1" ht="21.75" customHeight="1" thickBot="1" x14ac:dyDescent="0.25">
      <c r="A1311" s="1396"/>
      <c r="B1311" s="1980"/>
      <c r="C1311" s="1908"/>
      <c r="D1311" s="1628"/>
      <c r="E1311" s="2505"/>
      <c r="F1311" s="1628"/>
      <c r="G1311" s="2505"/>
      <c r="H1311" s="153"/>
      <c r="I1311" s="153"/>
      <c r="J1311" s="153"/>
      <c r="K1311" s="153"/>
      <c r="L1311" s="153"/>
      <c r="M1311" s="153"/>
      <c r="N1311" s="153"/>
      <c r="O1311" s="153"/>
      <c r="P1311" s="153"/>
      <c r="Q1311" s="153"/>
      <c r="R1311" s="153"/>
      <c r="S1311" s="695"/>
      <c r="T1311" s="969"/>
      <c r="U1311" s="916"/>
      <c r="V1311" s="916"/>
      <c r="W1311" s="916"/>
      <c r="X1311" s="916"/>
      <c r="Y1311" s="811"/>
      <c r="Z1311" s="803"/>
      <c r="AA1311" s="803"/>
      <c r="AB1311" s="803"/>
      <c r="AC1311" s="1131"/>
      <c r="AD1311" s="1131"/>
      <c r="AE1311" s="813"/>
      <c r="AF1311" s="2506"/>
      <c r="AG1311" s="2292"/>
      <c r="AH1311" s="1285"/>
      <c r="AI1311" s="965">
        <f>43500-7500</f>
        <v>36000</v>
      </c>
      <c r="AJ1311" s="965" t="s">
        <v>537</v>
      </c>
      <c r="AK1311" s="2503"/>
      <c r="AL1311" s="153"/>
      <c r="AM1311" s="153"/>
      <c r="AN1311" s="153"/>
      <c r="AO1311" s="153"/>
      <c r="AP1311" s="153"/>
      <c r="AQ1311" s="153"/>
      <c r="AR1311" s="153"/>
      <c r="AS1311" s="121"/>
      <c r="AT1311" s="121"/>
      <c r="AU1311" s="121"/>
      <c r="AV1311" s="121"/>
      <c r="AW1311" s="121"/>
      <c r="AX1311" s="121"/>
      <c r="AY1311" s="121"/>
      <c r="AZ1311" s="121"/>
      <c r="BA1311" s="121"/>
      <c r="BB1311" s="121"/>
      <c r="BC1311" s="121"/>
      <c r="BD1311" s="121"/>
      <c r="BE1311" s="121"/>
      <c r="BF1311" s="121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21"/>
      <c r="BS1311" s="121"/>
      <c r="BT1311" s="121"/>
      <c r="BU1311" s="121"/>
      <c r="BV1311" s="121"/>
      <c r="BW1311" s="121"/>
      <c r="BX1311" s="121"/>
      <c r="BY1311" s="121"/>
      <c r="BZ1311" s="121"/>
      <c r="CA1311" s="121"/>
      <c r="CB1311" s="121"/>
      <c r="CC1311" s="121"/>
      <c r="CD1311" s="121"/>
      <c r="CE1311" s="121"/>
      <c r="CF1311" s="121"/>
      <c r="CG1311" s="121"/>
      <c r="CH1311" s="121"/>
    </row>
    <row r="1312" spans="1:86" s="122" customFormat="1" ht="21.75" customHeight="1" x14ac:dyDescent="0.2">
      <c r="A1312" s="1395">
        <v>2</v>
      </c>
      <c r="B1312" s="1981">
        <v>3404392</v>
      </c>
      <c r="C1312" s="1808" t="s">
        <v>261</v>
      </c>
      <c r="D1312" s="1397">
        <v>3.26</v>
      </c>
      <c r="E1312" s="1795">
        <v>14670</v>
      </c>
      <c r="F1312" s="1397">
        <v>3.26</v>
      </c>
      <c r="G1312" s="1795">
        <v>14670</v>
      </c>
      <c r="H1312" s="383"/>
      <c r="I1312" s="383"/>
      <c r="J1312" s="383"/>
      <c r="K1312" s="383"/>
      <c r="L1312" s="383"/>
      <c r="M1312" s="383"/>
      <c r="N1312" s="383"/>
      <c r="O1312" s="383"/>
      <c r="P1312" s="383"/>
      <c r="Q1312" s="383"/>
      <c r="R1312" s="383"/>
      <c r="S1312" s="384"/>
      <c r="T1312" s="153"/>
      <c r="U1312" s="153"/>
      <c r="V1312" s="153"/>
      <c r="W1312" s="1018"/>
      <c r="X1312" s="153"/>
      <c r="Y1312" s="785"/>
      <c r="Z1312" s="1233" t="s">
        <v>441</v>
      </c>
      <c r="AA1312" s="1233" t="s">
        <v>538</v>
      </c>
      <c r="AB1312" s="1233" t="s">
        <v>5</v>
      </c>
      <c r="AC1312" s="975">
        <v>3.26</v>
      </c>
      <c r="AD1312" s="878" t="s">
        <v>2</v>
      </c>
      <c r="AE1312" s="2507">
        <v>41282.6564</v>
      </c>
      <c r="AF1312" s="803"/>
      <c r="AG1312" s="803"/>
      <c r="AH1312" s="803"/>
      <c r="AI1312" s="814"/>
      <c r="AJ1312" s="1131"/>
      <c r="AK1312" s="813"/>
      <c r="AL1312" s="34"/>
      <c r="AM1312" s="34"/>
      <c r="AN1312" s="34"/>
      <c r="AO1312" s="975"/>
      <c r="AP1312" s="878"/>
      <c r="AQ1312" s="715"/>
      <c r="AR1312" s="153"/>
      <c r="AS1312" s="121"/>
      <c r="AT1312" s="121"/>
      <c r="AU1312" s="121"/>
      <c r="AV1312" s="121"/>
      <c r="AW1312" s="121"/>
      <c r="AX1312" s="121"/>
      <c r="AY1312" s="121"/>
      <c r="AZ1312" s="121"/>
      <c r="BA1312" s="121"/>
      <c r="BB1312" s="121"/>
      <c r="BC1312" s="121"/>
      <c r="BD1312" s="121"/>
      <c r="BE1312" s="121"/>
      <c r="BF1312" s="121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21"/>
      <c r="BS1312" s="121"/>
      <c r="BT1312" s="121"/>
      <c r="BU1312" s="121"/>
      <c r="BV1312" s="121"/>
      <c r="BW1312" s="121"/>
      <c r="BX1312" s="121"/>
      <c r="BY1312" s="121"/>
      <c r="BZ1312" s="121"/>
      <c r="CA1312" s="121"/>
      <c r="CB1312" s="121"/>
      <c r="CC1312" s="121"/>
      <c r="CD1312" s="121"/>
      <c r="CE1312" s="121"/>
      <c r="CF1312" s="121"/>
      <c r="CG1312" s="121"/>
      <c r="CH1312" s="121"/>
    </row>
    <row r="1313" spans="1:86" s="122" customFormat="1" ht="21.75" customHeight="1" x14ac:dyDescent="0.2">
      <c r="A1313" s="1560"/>
      <c r="B1313" s="1982"/>
      <c r="C1313" s="1699"/>
      <c r="D1313" s="1543"/>
      <c r="E1313" s="1557"/>
      <c r="F1313" s="1543"/>
      <c r="G1313" s="1557"/>
      <c r="H1313" s="153"/>
      <c r="I1313" s="153"/>
      <c r="J1313" s="153"/>
      <c r="K1313" s="153"/>
      <c r="L1313" s="153"/>
      <c r="M1313" s="153"/>
      <c r="N1313" s="153"/>
      <c r="O1313" s="153"/>
      <c r="P1313" s="153"/>
      <c r="Q1313" s="153"/>
      <c r="R1313" s="153"/>
      <c r="S1313" s="207"/>
      <c r="T1313" s="153"/>
      <c r="U1313" s="153"/>
      <c r="V1313" s="153"/>
      <c r="W1313" s="91"/>
      <c r="X1313" s="92"/>
      <c r="Y1313" s="785"/>
      <c r="Z1313" s="1233"/>
      <c r="AA1313" s="1233"/>
      <c r="AB1313" s="1233"/>
      <c r="AC1313" s="878">
        <v>14670</v>
      </c>
      <c r="AD1313" s="878" t="s">
        <v>537</v>
      </c>
      <c r="AE1313" s="2507"/>
      <c r="AF1313" s="803"/>
      <c r="AG1313" s="803"/>
      <c r="AH1313" s="803"/>
      <c r="AI1313" s="1131"/>
      <c r="AJ1313" s="1131"/>
      <c r="AK1313" s="813"/>
      <c r="AL1313" s="34"/>
      <c r="AM1313" s="34"/>
      <c r="AN1313" s="34"/>
      <c r="AO1313" s="878"/>
      <c r="AP1313" s="878"/>
      <c r="AQ1313" s="715"/>
      <c r="AR1313" s="153"/>
      <c r="AS1313" s="121"/>
      <c r="AT1313" s="121"/>
      <c r="AU1313" s="121"/>
      <c r="AV1313" s="121"/>
      <c r="AW1313" s="121"/>
      <c r="AX1313" s="121"/>
      <c r="AY1313" s="121"/>
      <c r="AZ1313" s="121"/>
      <c r="BA1313" s="121"/>
      <c r="BB1313" s="121"/>
      <c r="BC1313" s="121"/>
      <c r="BD1313" s="121"/>
      <c r="BE1313" s="121"/>
      <c r="BF1313" s="121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21"/>
      <c r="BS1313" s="121"/>
      <c r="BT1313" s="121"/>
      <c r="BU1313" s="121"/>
      <c r="BV1313" s="121"/>
      <c r="BW1313" s="121"/>
      <c r="BX1313" s="121"/>
      <c r="BY1313" s="121"/>
      <c r="BZ1313" s="121"/>
      <c r="CA1313" s="121"/>
      <c r="CB1313" s="121"/>
      <c r="CC1313" s="121"/>
      <c r="CD1313" s="121"/>
      <c r="CE1313" s="121"/>
      <c r="CF1313" s="121"/>
      <c r="CG1313" s="121"/>
      <c r="CH1313" s="121"/>
    </row>
    <row r="1314" spans="1:86" s="122" customFormat="1" ht="21.75" hidden="1" customHeight="1" x14ac:dyDescent="0.2">
      <c r="A1314" s="1646">
        <v>3</v>
      </c>
      <c r="B1314" s="1965">
        <v>3404376</v>
      </c>
      <c r="C1314" s="1245" t="s">
        <v>267</v>
      </c>
      <c r="D1314" s="1258">
        <v>4</v>
      </c>
      <c r="E1314" s="1714">
        <v>18000</v>
      </c>
      <c r="F1314" s="1258">
        <v>4</v>
      </c>
      <c r="G1314" s="1714">
        <f>F1314*4500</f>
        <v>18000</v>
      </c>
      <c r="H1314" s="153"/>
      <c r="I1314" s="153"/>
      <c r="J1314" s="153"/>
      <c r="K1314" s="153"/>
      <c r="L1314" s="153"/>
      <c r="M1314" s="153"/>
      <c r="N1314" s="153"/>
      <c r="O1314" s="153"/>
      <c r="P1314" s="153"/>
      <c r="Q1314" s="153"/>
      <c r="R1314" s="153"/>
      <c r="S1314" s="207"/>
      <c r="T1314" s="153"/>
      <c r="U1314" s="153"/>
      <c r="V1314" s="153"/>
      <c r="W1314" s="1018"/>
      <c r="X1314" s="153"/>
      <c r="Y1314" s="785"/>
      <c r="Z1314" s="92"/>
      <c r="AA1314" s="92"/>
      <c r="AB1314" s="153"/>
      <c r="AC1314" s="153"/>
      <c r="AD1314" s="153"/>
      <c r="AE1314" s="92"/>
      <c r="AF1314" s="174"/>
      <c r="AG1314" s="174"/>
      <c r="AH1314" s="174"/>
      <c r="AI1314" s="42"/>
      <c r="AJ1314" s="883"/>
      <c r="AK1314" s="289"/>
      <c r="AL1314" s="1279" t="s">
        <v>441</v>
      </c>
      <c r="AM1314" s="1279" t="s">
        <v>475</v>
      </c>
      <c r="AN1314" s="1279" t="s">
        <v>5</v>
      </c>
      <c r="AO1314" s="42"/>
      <c r="AP1314" s="883" t="s">
        <v>2</v>
      </c>
      <c r="AQ1314" s="1299"/>
      <c r="AR1314" s="153"/>
      <c r="AS1314" s="121"/>
      <c r="AT1314" s="121"/>
      <c r="AU1314" s="121"/>
      <c r="AV1314" s="121"/>
      <c r="AW1314" s="121"/>
      <c r="AX1314" s="121"/>
      <c r="AY1314" s="121"/>
      <c r="AZ1314" s="121"/>
      <c r="BA1314" s="121"/>
      <c r="BB1314" s="121"/>
      <c r="BC1314" s="121"/>
      <c r="BD1314" s="121"/>
      <c r="BE1314" s="121"/>
      <c r="BF1314" s="121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21"/>
      <c r="BS1314" s="121"/>
      <c r="BT1314" s="121"/>
      <c r="BU1314" s="121"/>
      <c r="BV1314" s="121"/>
      <c r="BW1314" s="121"/>
      <c r="BX1314" s="121"/>
      <c r="BY1314" s="121"/>
      <c r="BZ1314" s="121"/>
      <c r="CA1314" s="121"/>
      <c r="CB1314" s="121"/>
      <c r="CC1314" s="121"/>
      <c r="CD1314" s="121"/>
      <c r="CE1314" s="121"/>
      <c r="CF1314" s="121"/>
      <c r="CG1314" s="121"/>
      <c r="CH1314" s="121"/>
    </row>
    <row r="1315" spans="1:86" s="122" customFormat="1" ht="21.75" hidden="1" customHeight="1" x14ac:dyDescent="0.2">
      <c r="A1315" s="1604"/>
      <c r="B1315" s="1965"/>
      <c r="C1315" s="1245"/>
      <c r="D1315" s="1258"/>
      <c r="E1315" s="1714"/>
      <c r="F1315" s="1258"/>
      <c r="G1315" s="1714"/>
      <c r="H1315" s="153"/>
      <c r="I1315" s="153"/>
      <c r="J1315" s="153"/>
      <c r="K1315" s="153"/>
      <c r="L1315" s="153"/>
      <c r="M1315" s="153"/>
      <c r="N1315" s="153"/>
      <c r="O1315" s="153"/>
      <c r="P1315" s="153"/>
      <c r="Q1315" s="153"/>
      <c r="R1315" s="153"/>
      <c r="S1315" s="207"/>
      <c r="T1315" s="153"/>
      <c r="U1315" s="153"/>
      <c r="V1315" s="153"/>
      <c r="W1315" s="91"/>
      <c r="X1315" s="92"/>
      <c r="Y1315" s="785"/>
      <c r="Z1315" s="153"/>
      <c r="AA1315" s="153"/>
      <c r="AB1315" s="153"/>
      <c r="AC1315" s="153"/>
      <c r="AD1315" s="153"/>
      <c r="AE1315" s="153"/>
      <c r="AF1315" s="174"/>
      <c r="AG1315" s="174"/>
      <c r="AH1315" s="174"/>
      <c r="AI1315" s="883"/>
      <c r="AJ1315" s="883"/>
      <c r="AK1315" s="289"/>
      <c r="AL1315" s="1261"/>
      <c r="AM1315" s="1261"/>
      <c r="AN1315" s="1268"/>
      <c r="AO1315" s="883"/>
      <c r="AP1315" s="883" t="s">
        <v>3</v>
      </c>
      <c r="AQ1315" s="1249"/>
      <c r="AR1315" s="153"/>
      <c r="AS1315" s="121"/>
      <c r="AT1315" s="121"/>
      <c r="AU1315" s="121"/>
      <c r="AV1315" s="121"/>
      <c r="AW1315" s="121"/>
      <c r="AX1315" s="121"/>
      <c r="AY1315" s="121"/>
      <c r="AZ1315" s="121"/>
      <c r="BA1315" s="121"/>
      <c r="BB1315" s="121"/>
      <c r="BC1315" s="121"/>
      <c r="BD1315" s="121"/>
      <c r="BE1315" s="121"/>
      <c r="BF1315" s="121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21"/>
      <c r="BS1315" s="121"/>
      <c r="BT1315" s="121"/>
      <c r="BU1315" s="121"/>
      <c r="BV1315" s="121"/>
      <c r="BW1315" s="121"/>
      <c r="BX1315" s="121"/>
      <c r="BY1315" s="121"/>
      <c r="BZ1315" s="121"/>
      <c r="CA1315" s="121"/>
      <c r="CB1315" s="121"/>
      <c r="CC1315" s="121"/>
      <c r="CD1315" s="121"/>
      <c r="CE1315" s="121"/>
      <c r="CF1315" s="121"/>
      <c r="CG1315" s="121"/>
      <c r="CH1315" s="121"/>
    </row>
    <row r="1316" spans="1:86" s="122" customFormat="1" ht="30.2" hidden="1" customHeight="1" x14ac:dyDescent="0.2">
      <c r="A1316" s="1173"/>
      <c r="B1316" s="1965"/>
      <c r="C1316" s="1245"/>
      <c r="D1316" s="1258"/>
      <c r="E1316" s="1714"/>
      <c r="F1316" s="1258"/>
      <c r="G1316" s="1714"/>
      <c r="H1316" s="153"/>
      <c r="I1316" s="153"/>
      <c r="J1316" s="153"/>
      <c r="K1316" s="153"/>
      <c r="L1316" s="153"/>
      <c r="M1316" s="153"/>
      <c r="N1316" s="153"/>
      <c r="O1316" s="153"/>
      <c r="P1316" s="153"/>
      <c r="Q1316" s="153"/>
      <c r="R1316" s="153"/>
      <c r="S1316" s="207"/>
      <c r="T1316" s="153"/>
      <c r="U1316" s="153"/>
      <c r="V1316" s="153"/>
      <c r="W1316" s="91"/>
      <c r="X1316" s="92"/>
      <c r="Y1316" s="785"/>
      <c r="Z1316" s="153"/>
      <c r="AA1316" s="153"/>
      <c r="AB1316" s="153"/>
      <c r="AC1316" s="153"/>
      <c r="AD1316" s="153"/>
      <c r="AE1316" s="153"/>
      <c r="AF1316" s="174"/>
      <c r="AG1316" s="174"/>
      <c r="AH1316" s="883"/>
      <c r="AI1316" s="883"/>
      <c r="AJ1316" s="883"/>
      <c r="AK1316" s="289"/>
      <c r="AL1316" s="1268"/>
      <c r="AM1316" s="1268"/>
      <c r="AN1316" s="883" t="s">
        <v>35</v>
      </c>
      <c r="AO1316" s="883">
        <v>22</v>
      </c>
      <c r="AP1316" s="883" t="s">
        <v>539</v>
      </c>
      <c r="AQ1316" s="2227"/>
      <c r="AR1316" s="153"/>
      <c r="AS1316" s="121"/>
      <c r="AT1316" s="121"/>
      <c r="AU1316" s="121"/>
      <c r="AV1316" s="121"/>
      <c r="AW1316" s="121"/>
      <c r="AX1316" s="121"/>
      <c r="AY1316" s="121"/>
      <c r="AZ1316" s="121"/>
      <c r="BA1316" s="121"/>
      <c r="BB1316" s="121"/>
      <c r="BC1316" s="121"/>
      <c r="BD1316" s="121"/>
      <c r="BE1316" s="121"/>
      <c r="BF1316" s="121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21"/>
      <c r="BS1316" s="121"/>
      <c r="BT1316" s="121"/>
      <c r="BU1316" s="121"/>
      <c r="BV1316" s="121"/>
      <c r="BW1316" s="121"/>
      <c r="BX1316" s="121"/>
      <c r="BY1316" s="121"/>
      <c r="BZ1316" s="121"/>
      <c r="CA1316" s="121"/>
      <c r="CB1316" s="121"/>
      <c r="CC1316" s="121"/>
      <c r="CD1316" s="121"/>
      <c r="CE1316" s="121"/>
      <c r="CF1316" s="121"/>
      <c r="CG1316" s="121"/>
      <c r="CH1316" s="121"/>
    </row>
    <row r="1317" spans="1:86" s="122" customFormat="1" ht="21.75" customHeight="1" x14ac:dyDescent="0.2">
      <c r="A1317" s="1603">
        <v>3</v>
      </c>
      <c r="B1317" s="1974">
        <v>3404385</v>
      </c>
      <c r="C1317" s="1343" t="s">
        <v>265</v>
      </c>
      <c r="D1317" s="1472">
        <v>1.3580000000000001</v>
      </c>
      <c r="E1317" s="1470">
        <v>5440</v>
      </c>
      <c r="F1317" s="1472">
        <v>1.3580000000000001</v>
      </c>
      <c r="G1317" s="1470">
        <v>5440</v>
      </c>
      <c r="H1317" s="153"/>
      <c r="I1317" s="153"/>
      <c r="J1317" s="153"/>
      <c r="K1317" s="153"/>
      <c r="L1317" s="153"/>
      <c r="M1317" s="153"/>
      <c r="N1317" s="153"/>
      <c r="O1317" s="153"/>
      <c r="P1317" s="153"/>
      <c r="Q1317" s="153"/>
      <c r="R1317" s="153"/>
      <c r="S1317" s="207"/>
      <c r="T1317" s="153"/>
      <c r="U1317" s="153"/>
      <c r="V1317" s="153"/>
      <c r="W1317" s="91"/>
      <c r="X1317" s="92"/>
      <c r="Y1317" s="785"/>
      <c r="Z1317" s="92"/>
      <c r="AA1317" s="92"/>
      <c r="AB1317" s="92"/>
      <c r="AC1317" s="92"/>
      <c r="AD1317" s="92"/>
      <c r="AE1317" s="92"/>
      <c r="AF1317" s="174"/>
      <c r="AG1317" s="174"/>
      <c r="AH1317" s="174"/>
      <c r="AI1317" s="42"/>
      <c r="AJ1317" s="883"/>
      <c r="AK1317" s="289"/>
      <c r="AL1317" s="1279" t="s">
        <v>441</v>
      </c>
      <c r="AM1317" s="1279" t="s">
        <v>1538</v>
      </c>
      <c r="AN1317" s="1279" t="s">
        <v>506</v>
      </c>
      <c r="AO1317" s="42">
        <v>1.228</v>
      </c>
      <c r="AP1317" s="883" t="s">
        <v>2</v>
      </c>
      <c r="AQ1317" s="1299">
        <v>5732.2</v>
      </c>
      <c r="AR1317" s="153"/>
      <c r="AS1317" s="121"/>
      <c r="AT1317" s="121"/>
      <c r="AU1317" s="121"/>
      <c r="AV1317" s="121"/>
      <c r="AW1317" s="121"/>
      <c r="AX1317" s="121"/>
      <c r="AY1317" s="121"/>
      <c r="AZ1317" s="121"/>
      <c r="BA1317" s="121"/>
      <c r="BB1317" s="121"/>
      <c r="BC1317" s="121"/>
      <c r="BD1317" s="121"/>
      <c r="BE1317" s="121"/>
      <c r="BF1317" s="121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21"/>
      <c r="BS1317" s="121"/>
      <c r="BT1317" s="121"/>
      <c r="BU1317" s="121"/>
      <c r="BV1317" s="121"/>
      <c r="BW1317" s="121"/>
      <c r="BX1317" s="121"/>
      <c r="BY1317" s="121"/>
      <c r="BZ1317" s="121"/>
      <c r="CA1317" s="121"/>
      <c r="CB1317" s="121"/>
      <c r="CC1317" s="121"/>
      <c r="CD1317" s="121"/>
      <c r="CE1317" s="121"/>
      <c r="CF1317" s="121"/>
      <c r="CG1317" s="121"/>
      <c r="CH1317" s="121"/>
    </row>
    <row r="1318" spans="1:86" s="122" customFormat="1" ht="21.75" customHeight="1" x14ac:dyDescent="0.2">
      <c r="A1318" s="1604"/>
      <c r="B1318" s="1975"/>
      <c r="C1318" s="1699"/>
      <c r="D1318" s="1543"/>
      <c r="E1318" s="1557"/>
      <c r="F1318" s="1543"/>
      <c r="G1318" s="1557"/>
      <c r="H1318" s="153"/>
      <c r="I1318" s="153"/>
      <c r="J1318" s="153"/>
      <c r="K1318" s="153"/>
      <c r="L1318" s="153"/>
      <c r="M1318" s="153"/>
      <c r="N1318" s="153"/>
      <c r="O1318" s="153"/>
      <c r="P1318" s="153"/>
      <c r="Q1318" s="153"/>
      <c r="R1318" s="153"/>
      <c r="S1318" s="207"/>
      <c r="T1318" s="153"/>
      <c r="U1318" s="153"/>
      <c r="V1318" s="153"/>
      <c r="W1318" s="91"/>
      <c r="X1318" s="92"/>
      <c r="Y1318" s="785"/>
      <c r="Z1318" s="153"/>
      <c r="AA1318" s="153"/>
      <c r="AB1318" s="153"/>
      <c r="AC1318" s="153"/>
      <c r="AD1318" s="153"/>
      <c r="AE1318" s="153"/>
      <c r="AF1318" s="174"/>
      <c r="AG1318" s="174"/>
      <c r="AH1318" s="174"/>
      <c r="AI1318" s="883"/>
      <c r="AJ1318" s="883"/>
      <c r="AK1318" s="289"/>
      <c r="AL1318" s="1261"/>
      <c r="AM1318" s="1261"/>
      <c r="AN1318" s="1268"/>
      <c r="AO1318" s="926">
        <f>G1317/F1317*AO1317</f>
        <v>4919.2341678939611</v>
      </c>
      <c r="AP1318" s="883" t="s">
        <v>3</v>
      </c>
      <c r="AQ1318" s="1249"/>
      <c r="AR1318" s="92"/>
      <c r="AS1318" s="121"/>
      <c r="AT1318" s="121"/>
      <c r="AU1318" s="121"/>
      <c r="AV1318" s="121"/>
      <c r="AW1318" s="121"/>
      <c r="AX1318" s="121"/>
      <c r="AY1318" s="121"/>
      <c r="AZ1318" s="121"/>
      <c r="BA1318" s="121"/>
      <c r="BB1318" s="121"/>
      <c r="BC1318" s="121"/>
      <c r="BD1318" s="121"/>
      <c r="BE1318" s="121"/>
      <c r="BF1318" s="121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21"/>
      <c r="BS1318" s="121"/>
      <c r="BT1318" s="121"/>
      <c r="BU1318" s="121"/>
      <c r="BV1318" s="121"/>
      <c r="BW1318" s="121"/>
      <c r="BX1318" s="121"/>
      <c r="BY1318" s="121"/>
      <c r="BZ1318" s="121"/>
      <c r="CA1318" s="121"/>
      <c r="CB1318" s="121"/>
      <c r="CC1318" s="121"/>
      <c r="CD1318" s="121"/>
      <c r="CE1318" s="121"/>
      <c r="CF1318" s="121"/>
      <c r="CG1318" s="121"/>
      <c r="CH1318" s="121"/>
    </row>
    <row r="1319" spans="1:86" s="122" customFormat="1" ht="31.5" hidden="1" customHeight="1" x14ac:dyDescent="0.2">
      <c r="A1319" s="1173"/>
      <c r="B1319" s="1976"/>
      <c r="C1319" s="1273"/>
      <c r="D1319" s="1543"/>
      <c r="E1319" s="1557"/>
      <c r="F1319" s="1543"/>
      <c r="G1319" s="1557"/>
      <c r="H1319" s="153"/>
      <c r="I1319" s="153"/>
      <c r="J1319" s="153"/>
      <c r="K1319" s="153"/>
      <c r="L1319" s="153"/>
      <c r="M1319" s="153"/>
      <c r="N1319" s="153"/>
      <c r="O1319" s="153"/>
      <c r="P1319" s="153"/>
      <c r="Q1319" s="153"/>
      <c r="R1319" s="153"/>
      <c r="S1319" s="207"/>
      <c r="T1319" s="153"/>
      <c r="U1319" s="153"/>
      <c r="V1319" s="153"/>
      <c r="W1319" s="91"/>
      <c r="X1319" s="92"/>
      <c r="Y1319" s="785"/>
      <c r="Z1319" s="153"/>
      <c r="AA1319" s="153"/>
      <c r="AB1319" s="153"/>
      <c r="AC1319" s="153"/>
      <c r="AD1319" s="153"/>
      <c r="AE1319" s="153"/>
      <c r="AF1319" s="174"/>
      <c r="AG1319" s="174"/>
      <c r="AH1319" s="883"/>
      <c r="AI1319" s="883"/>
      <c r="AJ1319" s="883"/>
      <c r="AK1319" s="289"/>
      <c r="AL1319" s="1268"/>
      <c r="AM1319" s="1261"/>
      <c r="AN1319" s="883" t="s">
        <v>35</v>
      </c>
      <c r="AO1319" s="883">
        <v>15</v>
      </c>
      <c r="AP1319" s="883" t="s">
        <v>8</v>
      </c>
      <c r="AQ1319" s="1249"/>
      <c r="AR1319" s="92"/>
      <c r="AS1319" s="121"/>
      <c r="AT1319" s="121"/>
      <c r="AU1319" s="121"/>
      <c r="AV1319" s="121"/>
      <c r="AW1319" s="121"/>
      <c r="AX1319" s="121"/>
      <c r="AY1319" s="121"/>
      <c r="AZ1319" s="121"/>
      <c r="BA1319" s="121"/>
      <c r="BB1319" s="121"/>
      <c r="BC1319" s="121"/>
      <c r="BD1319" s="121"/>
      <c r="BE1319" s="121"/>
      <c r="BF1319" s="121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21"/>
      <c r="BS1319" s="121"/>
      <c r="BT1319" s="121"/>
      <c r="BU1319" s="121"/>
      <c r="BV1319" s="121"/>
      <c r="BW1319" s="121"/>
      <c r="BX1319" s="121"/>
      <c r="BY1319" s="121"/>
      <c r="BZ1319" s="121"/>
      <c r="CA1319" s="121"/>
      <c r="CB1319" s="121"/>
      <c r="CC1319" s="121"/>
      <c r="CD1319" s="121"/>
      <c r="CE1319" s="121"/>
      <c r="CF1319" s="121"/>
      <c r="CG1319" s="121"/>
      <c r="CH1319" s="121"/>
    </row>
    <row r="1320" spans="1:86" s="122" customFormat="1" ht="21.75" customHeight="1" x14ac:dyDescent="0.2">
      <c r="A1320" s="1603">
        <v>4</v>
      </c>
      <c r="B1320" s="1974">
        <v>3404374</v>
      </c>
      <c r="C1320" s="1343" t="s">
        <v>268</v>
      </c>
      <c r="D1320" s="1472">
        <v>1.61</v>
      </c>
      <c r="E1320" s="1470">
        <v>7245</v>
      </c>
      <c r="F1320" s="1472">
        <v>1.61</v>
      </c>
      <c r="G1320" s="1470">
        <v>7245</v>
      </c>
      <c r="H1320" s="153"/>
      <c r="I1320" s="153"/>
      <c r="J1320" s="153"/>
      <c r="K1320" s="153"/>
      <c r="L1320" s="153"/>
      <c r="M1320" s="153"/>
      <c r="N1320" s="153"/>
      <c r="O1320" s="153"/>
      <c r="P1320" s="153"/>
      <c r="Q1320" s="153"/>
      <c r="R1320" s="153"/>
      <c r="S1320" s="207"/>
      <c r="T1320" s="153"/>
      <c r="U1320" s="153"/>
      <c r="V1320" s="153"/>
      <c r="W1320" s="91"/>
      <c r="X1320" s="92"/>
      <c r="Y1320" s="785"/>
      <c r="Z1320" s="153"/>
      <c r="AA1320" s="153"/>
      <c r="AB1320" s="153"/>
      <c r="AC1320" s="153"/>
      <c r="AD1320" s="153"/>
      <c r="AE1320" s="153"/>
      <c r="AF1320" s="174"/>
      <c r="AG1320" s="174"/>
      <c r="AH1320" s="174"/>
      <c r="AI1320" s="42"/>
      <c r="AJ1320" s="883"/>
      <c r="AK1320" s="289"/>
      <c r="AL1320" s="1279" t="s">
        <v>441</v>
      </c>
      <c r="AM1320" s="1279" t="s">
        <v>540</v>
      </c>
      <c r="AN1320" s="1279" t="s">
        <v>506</v>
      </c>
      <c r="AO1320" s="42">
        <f>1.61-0.191</f>
        <v>1.419</v>
      </c>
      <c r="AP1320" s="883" t="s">
        <v>2</v>
      </c>
      <c r="AQ1320" s="1299">
        <f>6785.9</f>
        <v>6785.9</v>
      </c>
      <c r="AR1320" s="153"/>
      <c r="AS1320" s="121"/>
      <c r="AT1320" s="121"/>
      <c r="AU1320" s="121"/>
      <c r="AV1320" s="121"/>
      <c r="AW1320" s="121"/>
      <c r="AX1320" s="121"/>
      <c r="AY1320" s="121"/>
      <c r="AZ1320" s="121"/>
      <c r="BA1320" s="121"/>
      <c r="BB1320" s="121"/>
      <c r="BC1320" s="121"/>
      <c r="BD1320" s="121"/>
      <c r="BE1320" s="121"/>
      <c r="BF1320" s="121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21"/>
      <c r="BS1320" s="121"/>
      <c r="BT1320" s="121"/>
      <c r="BU1320" s="121"/>
      <c r="BV1320" s="121"/>
      <c r="BW1320" s="121"/>
      <c r="BX1320" s="121"/>
      <c r="BY1320" s="121"/>
      <c r="BZ1320" s="121"/>
      <c r="CA1320" s="121"/>
      <c r="CB1320" s="121"/>
      <c r="CC1320" s="121"/>
      <c r="CD1320" s="121"/>
      <c r="CE1320" s="121"/>
      <c r="CF1320" s="121"/>
      <c r="CG1320" s="121"/>
      <c r="CH1320" s="121"/>
    </row>
    <row r="1321" spans="1:86" s="122" customFormat="1" ht="21.75" customHeight="1" x14ac:dyDescent="0.2">
      <c r="A1321" s="1604"/>
      <c r="B1321" s="1975"/>
      <c r="C1321" s="1699"/>
      <c r="D1321" s="1543"/>
      <c r="E1321" s="1557"/>
      <c r="F1321" s="1543"/>
      <c r="G1321" s="1557"/>
      <c r="H1321" s="153"/>
      <c r="I1321" s="153"/>
      <c r="J1321" s="153"/>
      <c r="K1321" s="153"/>
      <c r="L1321" s="153"/>
      <c r="M1321" s="153"/>
      <c r="N1321" s="153"/>
      <c r="O1321" s="153"/>
      <c r="P1321" s="153"/>
      <c r="Q1321" s="153"/>
      <c r="R1321" s="153"/>
      <c r="S1321" s="207"/>
      <c r="T1321" s="153"/>
      <c r="U1321" s="153"/>
      <c r="V1321" s="153"/>
      <c r="W1321" s="91"/>
      <c r="X1321" s="92"/>
      <c r="Y1321" s="785"/>
      <c r="Z1321" s="153"/>
      <c r="AA1321" s="153"/>
      <c r="AB1321" s="153"/>
      <c r="AC1321" s="153"/>
      <c r="AD1321" s="153"/>
      <c r="AE1321" s="153"/>
      <c r="AF1321" s="174"/>
      <c r="AG1321" s="174"/>
      <c r="AH1321" s="174"/>
      <c r="AI1321" s="883"/>
      <c r="AJ1321" s="883"/>
      <c r="AK1321" s="289"/>
      <c r="AL1321" s="1261"/>
      <c r="AM1321" s="1261"/>
      <c r="AN1321" s="1268"/>
      <c r="AO1321" s="883">
        <f>G1320/F1320*AO1320</f>
        <v>6385.5</v>
      </c>
      <c r="AP1321" s="883" t="s">
        <v>3</v>
      </c>
      <c r="AQ1321" s="1249"/>
      <c r="AR1321" s="92"/>
      <c r="AS1321" s="121"/>
      <c r="AT1321" s="121"/>
      <c r="AU1321" s="121"/>
      <c r="AV1321" s="121"/>
      <c r="AW1321" s="121"/>
      <c r="AX1321" s="121"/>
      <c r="AY1321" s="121"/>
      <c r="AZ1321" s="121"/>
      <c r="BA1321" s="121"/>
      <c r="BB1321" s="121"/>
      <c r="BC1321" s="121"/>
      <c r="BD1321" s="121"/>
      <c r="BE1321" s="121"/>
      <c r="BF1321" s="121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21"/>
      <c r="BS1321" s="121"/>
      <c r="BT1321" s="121"/>
      <c r="BU1321" s="121"/>
      <c r="BV1321" s="121"/>
      <c r="BW1321" s="121"/>
      <c r="BX1321" s="121"/>
      <c r="BY1321" s="121"/>
      <c r="BZ1321" s="121"/>
      <c r="CA1321" s="121"/>
      <c r="CB1321" s="121"/>
      <c r="CC1321" s="121"/>
      <c r="CD1321" s="121"/>
      <c r="CE1321" s="121"/>
      <c r="CF1321" s="121"/>
      <c r="CG1321" s="121"/>
      <c r="CH1321" s="121"/>
    </row>
    <row r="1322" spans="1:86" s="122" customFormat="1" ht="32.85" hidden="1" customHeight="1" x14ac:dyDescent="0.2">
      <c r="A1322" s="1173"/>
      <c r="B1322" s="1976"/>
      <c r="C1322" s="1273"/>
      <c r="D1322" s="1473"/>
      <c r="E1322" s="1471"/>
      <c r="F1322" s="1473"/>
      <c r="G1322" s="1471"/>
      <c r="H1322" s="153"/>
      <c r="I1322" s="153"/>
      <c r="J1322" s="153"/>
      <c r="K1322" s="153"/>
      <c r="L1322" s="153"/>
      <c r="M1322" s="153"/>
      <c r="N1322" s="153"/>
      <c r="O1322" s="153"/>
      <c r="P1322" s="153"/>
      <c r="Q1322" s="153"/>
      <c r="R1322" s="153"/>
      <c r="S1322" s="207"/>
      <c r="T1322" s="153"/>
      <c r="U1322" s="153"/>
      <c r="V1322" s="153"/>
      <c r="W1322" s="91"/>
      <c r="X1322" s="92"/>
      <c r="Y1322" s="785"/>
      <c r="Z1322" s="153"/>
      <c r="AA1322" s="153"/>
      <c r="AB1322" s="153"/>
      <c r="AC1322" s="153"/>
      <c r="AD1322" s="153"/>
      <c r="AE1322" s="153"/>
      <c r="AF1322" s="174"/>
      <c r="AG1322" s="174"/>
      <c r="AH1322" s="883"/>
      <c r="AI1322" s="883"/>
      <c r="AJ1322" s="883"/>
      <c r="AK1322" s="289"/>
      <c r="AL1322" s="1268"/>
      <c r="AM1322" s="1268"/>
      <c r="AN1322" s="883" t="s">
        <v>35</v>
      </c>
      <c r="AO1322" s="883">
        <v>6</v>
      </c>
      <c r="AP1322" s="883" t="s">
        <v>8</v>
      </c>
      <c r="AQ1322" s="2227"/>
      <c r="AR1322" s="92"/>
      <c r="AS1322" s="121"/>
      <c r="AT1322" s="121"/>
      <c r="AU1322" s="121"/>
      <c r="AV1322" s="121"/>
      <c r="AW1322" s="121"/>
      <c r="AX1322" s="121"/>
      <c r="AY1322" s="121"/>
      <c r="AZ1322" s="121"/>
      <c r="BA1322" s="121"/>
      <c r="BB1322" s="121"/>
      <c r="BC1322" s="121"/>
      <c r="BD1322" s="121"/>
      <c r="BE1322" s="121"/>
      <c r="BF1322" s="121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21"/>
      <c r="BS1322" s="121"/>
      <c r="BT1322" s="121"/>
      <c r="BU1322" s="121"/>
      <c r="BV1322" s="121"/>
      <c r="BW1322" s="121"/>
      <c r="BX1322" s="121"/>
      <c r="BY1322" s="121"/>
      <c r="BZ1322" s="121"/>
      <c r="CA1322" s="121"/>
      <c r="CB1322" s="121"/>
      <c r="CC1322" s="121"/>
      <c r="CD1322" s="121"/>
      <c r="CE1322" s="121"/>
      <c r="CF1322" s="121"/>
      <c r="CG1322" s="121"/>
      <c r="CH1322" s="121"/>
    </row>
    <row r="1323" spans="1:86" s="122" customFormat="1" ht="21.2" customHeight="1" x14ac:dyDescent="0.2">
      <c r="A1323" s="1603">
        <v>5</v>
      </c>
      <c r="B1323" s="1974">
        <v>3404409</v>
      </c>
      <c r="C1323" s="1343" t="s">
        <v>616</v>
      </c>
      <c r="D1323" s="1472">
        <v>2.1120000000000001</v>
      </c>
      <c r="E1323" s="1687">
        <v>12672</v>
      </c>
      <c r="F1323" s="1472">
        <v>0.83</v>
      </c>
      <c r="G1323" s="1687">
        <v>4980</v>
      </c>
      <c r="H1323" s="153"/>
      <c r="I1323" s="153"/>
      <c r="J1323" s="153"/>
      <c r="K1323" s="153"/>
      <c r="L1323" s="153"/>
      <c r="M1323" s="153"/>
      <c r="N1323" s="153"/>
      <c r="O1323" s="153"/>
      <c r="P1323" s="153"/>
      <c r="Q1323" s="153"/>
      <c r="R1323" s="153"/>
      <c r="S1323" s="207"/>
      <c r="T1323" s="1219" t="s">
        <v>441</v>
      </c>
      <c r="U1323" s="1219" t="s">
        <v>1528</v>
      </c>
      <c r="V1323" s="1260" t="s">
        <v>506</v>
      </c>
      <c r="W1323" s="975">
        <v>0.83</v>
      </c>
      <c r="X1323" s="926" t="s">
        <v>2</v>
      </c>
      <c r="Y1323" s="2508">
        <f>2208.2844+2265.4379+3778.6093+30</f>
        <v>8282.3315999999995</v>
      </c>
      <c r="Z1323" s="816"/>
      <c r="AA1323" s="816"/>
      <c r="AB1323" s="817"/>
      <c r="AC1323" s="814"/>
      <c r="AD1323" s="818"/>
      <c r="AE1323" s="819"/>
      <c r="AF1323" s="268"/>
      <c r="AG1323" s="268"/>
      <c r="AH1323" s="174"/>
      <c r="AI1323" s="975"/>
      <c r="AJ1323" s="935"/>
      <c r="AK1323" s="689"/>
      <c r="AL1323" s="246"/>
      <c r="AM1323" s="174"/>
      <c r="AN1323" s="883"/>
      <c r="AO1323" s="883"/>
      <c r="AP1323" s="883"/>
      <c r="AQ1323" s="174"/>
      <c r="AR1323" s="92"/>
      <c r="AS1323" s="121"/>
      <c r="AT1323" s="121"/>
      <c r="AU1323" s="121"/>
      <c r="AV1323" s="121"/>
      <c r="AW1323" s="121"/>
      <c r="AX1323" s="121"/>
      <c r="AY1323" s="121"/>
      <c r="AZ1323" s="121"/>
      <c r="BA1323" s="121"/>
      <c r="BB1323" s="121"/>
      <c r="BC1323" s="121"/>
      <c r="BD1323" s="121"/>
      <c r="BE1323" s="121"/>
      <c r="BF1323" s="121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21"/>
      <c r="BS1323" s="121"/>
      <c r="BT1323" s="121"/>
      <c r="BU1323" s="121"/>
      <c r="BV1323" s="121"/>
      <c r="BW1323" s="121"/>
      <c r="BX1323" s="121"/>
      <c r="BY1323" s="121"/>
      <c r="BZ1323" s="121"/>
      <c r="CA1323" s="121"/>
      <c r="CB1323" s="121"/>
      <c r="CC1323" s="121"/>
      <c r="CD1323" s="121"/>
      <c r="CE1323" s="121"/>
      <c r="CF1323" s="121"/>
      <c r="CG1323" s="121"/>
      <c r="CH1323" s="121"/>
    </row>
    <row r="1324" spans="1:86" s="122" customFormat="1" ht="21.2" customHeight="1" x14ac:dyDescent="0.2">
      <c r="A1324" s="1604"/>
      <c r="B1324" s="1975"/>
      <c r="C1324" s="1699"/>
      <c r="D1324" s="1543"/>
      <c r="E1324" s="1689"/>
      <c r="F1324" s="1543"/>
      <c r="G1324" s="1689"/>
      <c r="H1324" s="153"/>
      <c r="I1324" s="153"/>
      <c r="J1324" s="153"/>
      <c r="K1324" s="153"/>
      <c r="L1324" s="153"/>
      <c r="M1324" s="153"/>
      <c r="N1324" s="153"/>
      <c r="O1324" s="153"/>
      <c r="P1324" s="153"/>
      <c r="Q1324" s="153"/>
      <c r="R1324" s="153"/>
      <c r="S1324" s="207"/>
      <c r="T1324" s="1219"/>
      <c r="U1324" s="1219"/>
      <c r="V1324" s="1260"/>
      <c r="W1324" s="878">
        <v>4980</v>
      </c>
      <c r="X1324" s="926" t="s">
        <v>3</v>
      </c>
      <c r="Y1324" s="2508"/>
      <c r="Z1324" s="816"/>
      <c r="AA1324" s="816"/>
      <c r="AB1324" s="817"/>
      <c r="AC1324" s="1131"/>
      <c r="AD1324" s="818"/>
      <c r="AE1324" s="819"/>
      <c r="AF1324" s="268"/>
      <c r="AG1324" s="268"/>
      <c r="AH1324" s="174"/>
      <c r="AI1324" s="878"/>
      <c r="AJ1324" s="935"/>
      <c r="AK1324" s="689"/>
      <c r="AL1324" s="153"/>
      <c r="AM1324" s="174"/>
      <c r="AN1324" s="883"/>
      <c r="AO1324" s="883"/>
      <c r="AP1324" s="883"/>
      <c r="AQ1324" s="174"/>
      <c r="AR1324" s="92"/>
      <c r="AS1324" s="121"/>
      <c r="AT1324" s="121"/>
      <c r="AU1324" s="121"/>
      <c r="AV1324" s="121"/>
      <c r="AW1324" s="121"/>
      <c r="AX1324" s="121"/>
      <c r="AY1324" s="121"/>
      <c r="AZ1324" s="121"/>
      <c r="BA1324" s="121"/>
      <c r="BB1324" s="121"/>
      <c r="BC1324" s="121"/>
      <c r="BD1324" s="121"/>
      <c r="BE1324" s="121"/>
      <c r="BF1324" s="121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21"/>
      <c r="BS1324" s="121"/>
      <c r="BT1324" s="121"/>
      <c r="BU1324" s="121"/>
      <c r="BV1324" s="121"/>
      <c r="BW1324" s="121"/>
      <c r="BX1324" s="121"/>
      <c r="BY1324" s="121"/>
      <c r="BZ1324" s="121"/>
      <c r="CA1324" s="121"/>
      <c r="CB1324" s="121"/>
      <c r="CC1324" s="121"/>
      <c r="CD1324" s="121"/>
      <c r="CE1324" s="121"/>
      <c r="CF1324" s="121"/>
      <c r="CG1324" s="121"/>
      <c r="CH1324" s="121"/>
    </row>
    <row r="1325" spans="1:86" s="122" customFormat="1" ht="32.85" hidden="1" customHeight="1" x14ac:dyDescent="0.2">
      <c r="A1325" s="1173"/>
      <c r="B1325" s="1976"/>
      <c r="C1325" s="1273"/>
      <c r="D1325" s="1473"/>
      <c r="E1325" s="1688"/>
      <c r="F1325" s="1473"/>
      <c r="G1325" s="1688"/>
      <c r="H1325" s="153"/>
      <c r="I1325" s="153"/>
      <c r="J1325" s="153"/>
      <c r="K1325" s="153"/>
      <c r="L1325" s="153"/>
      <c r="M1325" s="153"/>
      <c r="N1325" s="153"/>
      <c r="O1325" s="153"/>
      <c r="P1325" s="153"/>
      <c r="Q1325" s="153"/>
      <c r="R1325" s="153"/>
      <c r="S1325" s="207"/>
      <c r="T1325" s="1219"/>
      <c r="U1325" s="1219"/>
      <c r="V1325" s="266" t="s">
        <v>35</v>
      </c>
      <c r="W1325" s="878">
        <v>8</v>
      </c>
      <c r="X1325" s="935" t="s">
        <v>8</v>
      </c>
      <c r="Y1325" s="2508"/>
      <c r="Z1325" s="816"/>
      <c r="AA1325" s="816"/>
      <c r="AB1325" s="815"/>
      <c r="AC1325" s="1131"/>
      <c r="AD1325" s="818"/>
      <c r="AE1325" s="819"/>
      <c r="AF1325" s="268"/>
      <c r="AG1325" s="268"/>
      <c r="AH1325" s="266"/>
      <c r="AI1325" s="878"/>
      <c r="AJ1325" s="935"/>
      <c r="AK1325" s="689"/>
      <c r="AL1325" s="153"/>
      <c r="AM1325" s="174"/>
      <c r="AN1325" s="883"/>
      <c r="AO1325" s="883"/>
      <c r="AP1325" s="883"/>
      <c r="AQ1325" s="174"/>
      <c r="AR1325" s="92"/>
      <c r="AS1325" s="121"/>
      <c r="AT1325" s="121"/>
      <c r="AU1325" s="121"/>
      <c r="AV1325" s="121"/>
      <c r="AW1325" s="121"/>
      <c r="AX1325" s="121"/>
      <c r="AY1325" s="121"/>
      <c r="AZ1325" s="121"/>
      <c r="BA1325" s="121"/>
      <c r="BB1325" s="121"/>
      <c r="BC1325" s="121"/>
      <c r="BD1325" s="121"/>
      <c r="BE1325" s="121"/>
      <c r="BF1325" s="121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21"/>
      <c r="BS1325" s="121"/>
      <c r="BT1325" s="121"/>
      <c r="BU1325" s="121"/>
      <c r="BV1325" s="121"/>
      <c r="BW1325" s="121"/>
      <c r="BX1325" s="121"/>
      <c r="BY1325" s="121"/>
      <c r="BZ1325" s="121"/>
      <c r="CA1325" s="121"/>
      <c r="CB1325" s="121"/>
      <c r="CC1325" s="121"/>
      <c r="CD1325" s="121"/>
      <c r="CE1325" s="121"/>
      <c r="CF1325" s="121"/>
      <c r="CG1325" s="121"/>
      <c r="CH1325" s="121"/>
    </row>
    <row r="1326" spans="1:86" s="122" customFormat="1" ht="22.5" customHeight="1" x14ac:dyDescent="0.2">
      <c r="A1326" s="1603">
        <v>6</v>
      </c>
      <c r="B1326" s="1963">
        <v>3407135</v>
      </c>
      <c r="C1326" s="1343" t="s">
        <v>272</v>
      </c>
      <c r="D1326" s="1472">
        <v>1.04</v>
      </c>
      <c r="E1326" s="1687">
        <v>4160</v>
      </c>
      <c r="F1326" s="1472">
        <v>0.5</v>
      </c>
      <c r="G1326" s="1687">
        <v>2000</v>
      </c>
      <c r="H1326" s="153"/>
      <c r="I1326" s="153"/>
      <c r="J1326" s="153"/>
      <c r="K1326" s="153"/>
      <c r="L1326" s="153"/>
      <c r="M1326" s="153"/>
      <c r="N1326" s="153"/>
      <c r="O1326" s="153"/>
      <c r="P1326" s="153"/>
      <c r="Q1326" s="153"/>
      <c r="R1326" s="153"/>
      <c r="S1326" s="207"/>
      <c r="T1326" s="92"/>
      <c r="U1326" s="92"/>
      <c r="V1326" s="92"/>
      <c r="W1326" s="91"/>
      <c r="X1326" s="92"/>
      <c r="Y1326" s="696"/>
      <c r="Z1326" s="1691" t="s">
        <v>441</v>
      </c>
      <c r="AA1326" s="1691" t="s">
        <v>1549</v>
      </c>
      <c r="AB1326" s="1279" t="s">
        <v>506</v>
      </c>
      <c r="AC1326" s="975">
        <v>0.68</v>
      </c>
      <c r="AD1326" s="935" t="s">
        <v>2</v>
      </c>
      <c r="AE1326" s="1748">
        <v>3575.6078299999999</v>
      </c>
      <c r="AF1326" s="816"/>
      <c r="AG1326" s="816"/>
      <c r="AH1326" s="817"/>
      <c r="AI1326" s="814"/>
      <c r="AJ1326" s="818"/>
      <c r="AK1326" s="819"/>
      <c r="AL1326" s="295"/>
      <c r="AM1326" s="174"/>
      <c r="AN1326" s="883"/>
      <c r="AO1326" s="883"/>
      <c r="AP1326" s="883"/>
      <c r="AQ1326" s="174"/>
      <c r="AR1326" s="92"/>
      <c r="AS1326" s="121"/>
      <c r="AT1326" s="121"/>
      <c r="AU1326" s="121"/>
      <c r="AV1326" s="121"/>
      <c r="AW1326" s="121"/>
      <c r="AX1326" s="121"/>
      <c r="AY1326" s="121"/>
      <c r="AZ1326" s="121"/>
      <c r="BA1326" s="121"/>
      <c r="BB1326" s="121"/>
      <c r="BC1326" s="121"/>
      <c r="BD1326" s="121"/>
      <c r="BE1326" s="121"/>
      <c r="BF1326" s="121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21"/>
      <c r="BS1326" s="121"/>
      <c r="BT1326" s="121"/>
      <c r="BU1326" s="121"/>
      <c r="BV1326" s="121"/>
      <c r="BW1326" s="121"/>
      <c r="BX1326" s="121"/>
      <c r="BY1326" s="121"/>
      <c r="BZ1326" s="121"/>
      <c r="CA1326" s="121"/>
      <c r="CB1326" s="121"/>
      <c r="CC1326" s="121"/>
      <c r="CD1326" s="121"/>
      <c r="CE1326" s="121"/>
      <c r="CF1326" s="121"/>
      <c r="CG1326" s="121"/>
      <c r="CH1326" s="121"/>
    </row>
    <row r="1327" spans="1:86" s="122" customFormat="1" ht="27" customHeight="1" x14ac:dyDescent="0.2">
      <c r="A1327" s="1604"/>
      <c r="B1327" s="1963"/>
      <c r="C1327" s="1699"/>
      <c r="D1327" s="1543"/>
      <c r="E1327" s="1689"/>
      <c r="F1327" s="1543"/>
      <c r="G1327" s="1689"/>
      <c r="H1327" s="153"/>
      <c r="I1327" s="153"/>
      <c r="J1327" s="153"/>
      <c r="K1327" s="153"/>
      <c r="L1327" s="153"/>
      <c r="M1327" s="153"/>
      <c r="N1327" s="153"/>
      <c r="O1327" s="153"/>
      <c r="P1327" s="153"/>
      <c r="Q1327" s="153"/>
      <c r="R1327" s="153"/>
      <c r="S1327" s="207"/>
      <c r="T1327" s="153"/>
      <c r="U1327" s="153"/>
      <c r="V1327" s="153"/>
      <c r="W1327" s="91"/>
      <c r="X1327" s="92"/>
      <c r="Y1327" s="155"/>
      <c r="Z1327" s="1330"/>
      <c r="AA1327" s="1330"/>
      <c r="AB1327" s="1268"/>
      <c r="AC1327" s="878">
        <v>2000</v>
      </c>
      <c r="AD1327" s="935" t="s">
        <v>3</v>
      </c>
      <c r="AE1327" s="1749"/>
      <c r="AF1327" s="816"/>
      <c r="AG1327" s="816"/>
      <c r="AH1327" s="817"/>
      <c r="AI1327" s="1131"/>
      <c r="AJ1327" s="818"/>
      <c r="AK1327" s="819"/>
      <c r="AL1327" s="153"/>
      <c r="AM1327" s="174"/>
      <c r="AN1327" s="883"/>
      <c r="AO1327" s="883"/>
      <c r="AP1327" s="883"/>
      <c r="AQ1327" s="174"/>
      <c r="AR1327" s="92"/>
      <c r="AS1327" s="121"/>
      <c r="AT1327" s="121"/>
      <c r="AU1327" s="121"/>
      <c r="AV1327" s="121"/>
      <c r="AW1327" s="121"/>
      <c r="AX1327" s="121"/>
      <c r="AY1327" s="121"/>
      <c r="AZ1327" s="121"/>
      <c r="BA1327" s="121"/>
      <c r="BB1327" s="121"/>
      <c r="BC1327" s="121"/>
      <c r="BD1327" s="121"/>
      <c r="BE1327" s="121"/>
      <c r="BF1327" s="121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21"/>
      <c r="BS1327" s="121"/>
      <c r="BT1327" s="121"/>
      <c r="BU1327" s="121"/>
      <c r="BV1327" s="121"/>
      <c r="BW1327" s="121"/>
      <c r="BX1327" s="121"/>
      <c r="BY1327" s="121"/>
      <c r="BZ1327" s="121"/>
      <c r="CA1327" s="121"/>
      <c r="CB1327" s="121"/>
      <c r="CC1327" s="121"/>
      <c r="CD1327" s="121"/>
      <c r="CE1327" s="121"/>
      <c r="CF1327" s="121"/>
      <c r="CG1327" s="121"/>
      <c r="CH1327" s="121"/>
    </row>
    <row r="1328" spans="1:86" s="122" customFormat="1" ht="31.5" hidden="1" customHeight="1" x14ac:dyDescent="0.2">
      <c r="A1328" s="1173"/>
      <c r="B1328" s="1963"/>
      <c r="C1328" s="1273"/>
      <c r="D1328" s="1473"/>
      <c r="E1328" s="1688"/>
      <c r="F1328" s="1473"/>
      <c r="G1328" s="1688"/>
      <c r="H1328" s="153"/>
      <c r="I1328" s="153"/>
      <c r="J1328" s="153"/>
      <c r="K1328" s="153"/>
      <c r="L1328" s="153"/>
      <c r="M1328" s="153"/>
      <c r="N1328" s="153"/>
      <c r="O1328" s="153"/>
      <c r="P1328" s="153"/>
      <c r="Q1328" s="153"/>
      <c r="R1328" s="153"/>
      <c r="S1328" s="207"/>
      <c r="T1328" s="153"/>
      <c r="U1328" s="153"/>
      <c r="V1328" s="153"/>
      <c r="W1328" s="91"/>
      <c r="X1328" s="92"/>
      <c r="Y1328" s="155"/>
      <c r="Z1328" s="1692"/>
      <c r="AA1328" s="1692"/>
      <c r="AB1328" s="266" t="s">
        <v>35</v>
      </c>
      <c r="AC1328" s="878">
        <v>5</v>
      </c>
      <c r="AD1328" s="935" t="s">
        <v>8</v>
      </c>
      <c r="AE1328" s="1750"/>
      <c r="AF1328" s="816"/>
      <c r="AG1328" s="816"/>
      <c r="AH1328" s="815"/>
      <c r="AI1328" s="1131"/>
      <c r="AJ1328" s="818"/>
      <c r="AK1328" s="819"/>
      <c r="AL1328" s="153"/>
      <c r="AM1328" s="174"/>
      <c r="AN1328" s="883"/>
      <c r="AO1328" s="883"/>
      <c r="AP1328" s="883"/>
      <c r="AQ1328" s="174"/>
      <c r="AR1328" s="92"/>
      <c r="AS1328" s="121"/>
      <c r="AT1328" s="121"/>
      <c r="AU1328" s="121"/>
      <c r="AV1328" s="121"/>
      <c r="AW1328" s="121"/>
      <c r="AX1328" s="121"/>
      <c r="AY1328" s="121"/>
      <c r="AZ1328" s="121"/>
      <c r="BA1328" s="121"/>
      <c r="BB1328" s="121"/>
      <c r="BC1328" s="121"/>
      <c r="BD1328" s="121"/>
      <c r="BE1328" s="121"/>
      <c r="BF1328" s="121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21"/>
      <c r="BS1328" s="121"/>
      <c r="BT1328" s="121"/>
      <c r="BU1328" s="121"/>
      <c r="BV1328" s="121"/>
      <c r="BW1328" s="121"/>
      <c r="BX1328" s="121"/>
      <c r="BY1328" s="121"/>
      <c r="BZ1328" s="121"/>
      <c r="CA1328" s="121"/>
      <c r="CB1328" s="121"/>
      <c r="CC1328" s="121"/>
      <c r="CD1328" s="121"/>
      <c r="CE1328" s="121"/>
      <c r="CF1328" s="121"/>
      <c r="CG1328" s="121"/>
      <c r="CH1328" s="121"/>
    </row>
    <row r="1329" spans="1:86" s="122" customFormat="1" ht="21.75" customHeight="1" x14ac:dyDescent="0.2">
      <c r="A1329" s="1603">
        <v>7</v>
      </c>
      <c r="B1329" s="1708">
        <v>2244329</v>
      </c>
      <c r="C1329" s="1343" t="s">
        <v>273</v>
      </c>
      <c r="D1329" s="1472">
        <v>0.78700000000000003</v>
      </c>
      <c r="E1329" s="1470">
        <v>3160</v>
      </c>
      <c r="F1329" s="1472">
        <v>0.78700000000000003</v>
      </c>
      <c r="G1329" s="1470">
        <v>3160</v>
      </c>
      <c r="H1329" s="153"/>
      <c r="I1329" s="153"/>
      <c r="J1329" s="153"/>
      <c r="K1329" s="153"/>
      <c r="L1329" s="153"/>
      <c r="M1329" s="153"/>
      <c r="N1329" s="153"/>
      <c r="O1329" s="153"/>
      <c r="P1329" s="153"/>
      <c r="Q1329" s="153"/>
      <c r="R1329" s="153"/>
      <c r="S1329" s="207"/>
      <c r="T1329" s="92"/>
      <c r="U1329" s="92"/>
      <c r="V1329" s="92"/>
      <c r="W1329" s="91"/>
      <c r="X1329" s="92"/>
      <c r="Y1329" s="696"/>
      <c r="Z1329" s="92"/>
      <c r="AA1329" s="92"/>
      <c r="AB1329" s="92"/>
      <c r="AC1329" s="92"/>
      <c r="AD1329" s="92"/>
      <c r="AE1329" s="92"/>
      <c r="AF1329" s="1279" t="s">
        <v>441</v>
      </c>
      <c r="AG1329" s="1279" t="s">
        <v>681</v>
      </c>
      <c r="AH1329" s="1279" t="s">
        <v>506</v>
      </c>
      <c r="AI1329" s="42">
        <v>0.78700000000000003</v>
      </c>
      <c r="AJ1329" s="883" t="s">
        <v>2</v>
      </c>
      <c r="AK1329" s="2220">
        <v>3329.7</v>
      </c>
      <c r="AL1329" s="295"/>
      <c r="AM1329" s="174"/>
      <c r="AN1329" s="174"/>
      <c r="AO1329" s="42"/>
      <c r="AP1329" s="883"/>
      <c r="AQ1329" s="174"/>
      <c r="AR1329" s="246"/>
      <c r="AS1329" s="121"/>
      <c r="AT1329" s="121"/>
      <c r="AU1329" s="121"/>
      <c r="AV1329" s="121"/>
      <c r="AW1329" s="121"/>
      <c r="AX1329" s="121"/>
      <c r="AY1329" s="121"/>
      <c r="AZ1329" s="121"/>
      <c r="BA1329" s="121"/>
      <c r="BB1329" s="121"/>
      <c r="BC1329" s="121"/>
      <c r="BD1329" s="121"/>
      <c r="BE1329" s="121"/>
      <c r="BF1329" s="121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21"/>
      <c r="BS1329" s="121"/>
      <c r="BT1329" s="121"/>
      <c r="BU1329" s="121"/>
      <c r="BV1329" s="121"/>
      <c r="BW1329" s="121"/>
      <c r="BX1329" s="121"/>
      <c r="BY1329" s="121"/>
      <c r="BZ1329" s="121"/>
      <c r="CA1329" s="121"/>
      <c r="CB1329" s="121"/>
      <c r="CC1329" s="121"/>
      <c r="CD1329" s="121"/>
      <c r="CE1329" s="121"/>
      <c r="CF1329" s="121"/>
      <c r="CG1329" s="121"/>
      <c r="CH1329" s="121"/>
    </row>
    <row r="1330" spans="1:86" s="122" customFormat="1" ht="21.75" customHeight="1" x14ac:dyDescent="0.2">
      <c r="A1330" s="1604"/>
      <c r="B1330" s="1709"/>
      <c r="C1330" s="1699"/>
      <c r="D1330" s="1543"/>
      <c r="E1330" s="1557"/>
      <c r="F1330" s="1543"/>
      <c r="G1330" s="1557"/>
      <c r="H1330" s="153"/>
      <c r="I1330" s="153"/>
      <c r="J1330" s="153"/>
      <c r="K1330" s="153"/>
      <c r="L1330" s="153"/>
      <c r="M1330" s="153"/>
      <c r="N1330" s="153"/>
      <c r="O1330" s="153"/>
      <c r="P1330" s="153"/>
      <c r="Q1330" s="153"/>
      <c r="R1330" s="153"/>
      <c r="S1330" s="207"/>
      <c r="T1330" s="153"/>
      <c r="U1330" s="153"/>
      <c r="V1330" s="153"/>
      <c r="W1330" s="91"/>
      <c r="X1330" s="92"/>
      <c r="Y1330" s="155"/>
      <c r="Z1330" s="153"/>
      <c r="AA1330" s="153"/>
      <c r="AB1330" s="153"/>
      <c r="AC1330" s="153"/>
      <c r="AD1330" s="153"/>
      <c r="AE1330" s="153"/>
      <c r="AF1330" s="1261"/>
      <c r="AG1330" s="1261"/>
      <c r="AH1330" s="1268"/>
      <c r="AI1330" s="883">
        <v>3160</v>
      </c>
      <c r="AJ1330" s="883" t="s">
        <v>3</v>
      </c>
      <c r="AK1330" s="2221"/>
      <c r="AL1330" s="153"/>
      <c r="AM1330" s="174"/>
      <c r="AN1330" s="174"/>
      <c r="AO1330" s="883"/>
      <c r="AP1330" s="883"/>
      <c r="AQ1330" s="174"/>
      <c r="AR1330" s="92"/>
      <c r="AS1330" s="121"/>
      <c r="AT1330" s="121"/>
      <c r="AU1330" s="121"/>
      <c r="AV1330" s="121"/>
      <c r="AW1330" s="121"/>
      <c r="AX1330" s="121"/>
      <c r="AY1330" s="121"/>
      <c r="AZ1330" s="121"/>
      <c r="BA1330" s="121"/>
      <c r="BB1330" s="121"/>
      <c r="BC1330" s="121"/>
      <c r="BD1330" s="121"/>
      <c r="BE1330" s="121"/>
      <c r="BF1330" s="121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21"/>
      <c r="BS1330" s="121"/>
      <c r="BT1330" s="121"/>
      <c r="BU1330" s="121"/>
      <c r="BV1330" s="121"/>
      <c r="BW1330" s="121"/>
      <c r="BX1330" s="121"/>
      <c r="BY1330" s="121"/>
      <c r="BZ1330" s="121"/>
      <c r="CA1330" s="121"/>
      <c r="CB1330" s="121"/>
      <c r="CC1330" s="121"/>
      <c r="CD1330" s="121"/>
      <c r="CE1330" s="121"/>
      <c r="CF1330" s="121"/>
      <c r="CG1330" s="121"/>
      <c r="CH1330" s="121"/>
    </row>
    <row r="1331" spans="1:86" s="122" customFormat="1" ht="21.75" hidden="1" customHeight="1" x14ac:dyDescent="0.2">
      <c r="A1331" s="1173"/>
      <c r="B1331" s="1710"/>
      <c r="C1331" s="1273"/>
      <c r="D1331" s="1473"/>
      <c r="E1331" s="1471"/>
      <c r="F1331" s="1473"/>
      <c r="G1331" s="1471"/>
      <c r="H1331" s="153"/>
      <c r="I1331" s="153"/>
      <c r="J1331" s="153"/>
      <c r="K1331" s="153"/>
      <c r="L1331" s="153"/>
      <c r="M1331" s="153"/>
      <c r="N1331" s="153"/>
      <c r="O1331" s="153"/>
      <c r="P1331" s="153"/>
      <c r="Q1331" s="153"/>
      <c r="R1331" s="153"/>
      <c r="S1331" s="207"/>
      <c r="T1331" s="153"/>
      <c r="U1331" s="153"/>
      <c r="V1331" s="153"/>
      <c r="W1331" s="91"/>
      <c r="X1331" s="92"/>
      <c r="Y1331" s="155"/>
      <c r="Z1331" s="153"/>
      <c r="AA1331" s="153"/>
      <c r="AB1331" s="153"/>
      <c r="AC1331" s="153"/>
      <c r="AD1331" s="153"/>
      <c r="AE1331" s="153"/>
      <c r="AF1331" s="1268"/>
      <c r="AG1331" s="1268"/>
      <c r="AH1331" s="883" t="s">
        <v>35</v>
      </c>
      <c r="AI1331" s="883">
        <v>2</v>
      </c>
      <c r="AJ1331" s="883" t="s">
        <v>8</v>
      </c>
      <c r="AK1331" s="2222"/>
      <c r="AL1331" s="153"/>
      <c r="AM1331" s="174"/>
      <c r="AN1331" s="883"/>
      <c r="AO1331" s="883"/>
      <c r="AP1331" s="883"/>
      <c r="AQ1331" s="174"/>
      <c r="AR1331" s="92"/>
      <c r="AS1331" s="121"/>
      <c r="AT1331" s="121"/>
      <c r="AU1331" s="121"/>
      <c r="AV1331" s="121"/>
      <c r="AW1331" s="121"/>
      <c r="AX1331" s="121"/>
      <c r="AY1331" s="121"/>
      <c r="AZ1331" s="121"/>
      <c r="BA1331" s="121"/>
      <c r="BB1331" s="121"/>
      <c r="BC1331" s="121"/>
      <c r="BD1331" s="121"/>
      <c r="BE1331" s="121"/>
      <c r="BF1331" s="121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21"/>
      <c r="BS1331" s="121"/>
      <c r="BT1331" s="121"/>
      <c r="BU1331" s="121"/>
      <c r="BV1331" s="121"/>
      <c r="BW1331" s="121"/>
      <c r="BX1331" s="121"/>
      <c r="BY1331" s="121"/>
      <c r="BZ1331" s="121"/>
      <c r="CA1331" s="121"/>
      <c r="CB1331" s="121"/>
      <c r="CC1331" s="121"/>
      <c r="CD1331" s="121"/>
      <c r="CE1331" s="121"/>
      <c r="CF1331" s="121"/>
      <c r="CG1331" s="121"/>
      <c r="CH1331" s="121"/>
    </row>
    <row r="1332" spans="1:86" s="122" customFormat="1" ht="21.75" customHeight="1" x14ac:dyDescent="0.2">
      <c r="A1332" s="1603">
        <v>8</v>
      </c>
      <c r="B1332" s="1708">
        <v>2239245</v>
      </c>
      <c r="C1332" s="1343" t="s">
        <v>618</v>
      </c>
      <c r="D1332" s="1472">
        <v>0.81</v>
      </c>
      <c r="E1332" s="1687">
        <f>D1332*4000</f>
        <v>3240</v>
      </c>
      <c r="F1332" s="1472">
        <v>0.36599999999999999</v>
      </c>
      <c r="G1332" s="1687">
        <v>1480</v>
      </c>
      <c r="H1332" s="153"/>
      <c r="I1332" s="153"/>
      <c r="J1332" s="153"/>
      <c r="K1332" s="153"/>
      <c r="L1332" s="153"/>
      <c r="M1332" s="153"/>
      <c r="N1332" s="153"/>
      <c r="O1332" s="153"/>
      <c r="P1332" s="153"/>
      <c r="Q1332" s="153"/>
      <c r="R1332" s="153"/>
      <c r="S1332" s="207"/>
      <c r="T1332" s="153"/>
      <c r="U1332" s="153"/>
      <c r="V1332" s="153"/>
      <c r="W1332" s="91"/>
      <c r="X1332" s="92"/>
      <c r="Y1332" s="155"/>
      <c r="Z1332" s="153"/>
      <c r="AA1332" s="153"/>
      <c r="AB1332" s="153"/>
      <c r="AC1332" s="153"/>
      <c r="AD1332" s="153"/>
      <c r="AE1332" s="153"/>
      <c r="AF1332" s="268"/>
      <c r="AG1332" s="268"/>
      <c r="AH1332" s="174"/>
      <c r="AI1332" s="975"/>
      <c r="AJ1332" s="935"/>
      <c r="AK1332" s="783"/>
      <c r="AL1332" s="1219" t="s">
        <v>441</v>
      </c>
      <c r="AM1332" s="1219" t="s">
        <v>682</v>
      </c>
      <c r="AN1332" s="1260" t="s">
        <v>506</v>
      </c>
      <c r="AO1332" s="975">
        <v>0.36599999999999999</v>
      </c>
      <c r="AP1332" s="935" t="s">
        <v>2</v>
      </c>
      <c r="AQ1332" s="1724">
        <f>2628.8+14.079</f>
        <v>2642.8790000000004</v>
      </c>
      <c r="AR1332" s="153"/>
      <c r="AS1332" s="121"/>
      <c r="AT1332" s="121"/>
      <c r="AU1332" s="121"/>
      <c r="AV1332" s="121"/>
      <c r="AW1332" s="121"/>
      <c r="AX1332" s="121"/>
      <c r="AY1332" s="121"/>
      <c r="AZ1332" s="121"/>
      <c r="BA1332" s="121"/>
      <c r="BB1332" s="121"/>
      <c r="BC1332" s="121"/>
      <c r="BD1332" s="121"/>
      <c r="BE1332" s="121"/>
      <c r="BF1332" s="121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21"/>
      <c r="BS1332" s="121"/>
      <c r="BT1332" s="121"/>
      <c r="BU1332" s="121"/>
      <c r="BV1332" s="121"/>
      <c r="BW1332" s="121"/>
      <c r="BX1332" s="121"/>
      <c r="BY1332" s="121"/>
      <c r="BZ1332" s="121"/>
      <c r="CA1332" s="121"/>
      <c r="CB1332" s="121"/>
      <c r="CC1332" s="121"/>
      <c r="CD1332" s="121"/>
      <c r="CE1332" s="121"/>
      <c r="CF1332" s="121"/>
      <c r="CG1332" s="121"/>
      <c r="CH1332" s="121"/>
    </row>
    <row r="1333" spans="1:86" s="122" customFormat="1" ht="21.75" customHeight="1" x14ac:dyDescent="0.2">
      <c r="A1333" s="1604"/>
      <c r="B1333" s="1709"/>
      <c r="C1333" s="1699"/>
      <c r="D1333" s="1543"/>
      <c r="E1333" s="1689"/>
      <c r="F1333" s="1543"/>
      <c r="G1333" s="1689"/>
      <c r="H1333" s="153"/>
      <c r="I1333" s="153"/>
      <c r="J1333" s="153"/>
      <c r="K1333" s="153"/>
      <c r="L1333" s="153"/>
      <c r="M1333" s="153"/>
      <c r="N1333" s="153"/>
      <c r="O1333" s="153"/>
      <c r="P1333" s="153"/>
      <c r="Q1333" s="153"/>
      <c r="R1333" s="153"/>
      <c r="S1333" s="207"/>
      <c r="T1333" s="153"/>
      <c r="U1333" s="153"/>
      <c r="V1333" s="153"/>
      <c r="W1333" s="91"/>
      <c r="X1333" s="92"/>
      <c r="Y1333" s="155"/>
      <c r="Z1333" s="153"/>
      <c r="AA1333" s="153"/>
      <c r="AB1333" s="153"/>
      <c r="AC1333" s="153"/>
      <c r="AD1333" s="153"/>
      <c r="AE1333" s="153"/>
      <c r="AF1333" s="268"/>
      <c r="AG1333" s="268"/>
      <c r="AH1333" s="174"/>
      <c r="AI1333" s="878"/>
      <c r="AJ1333" s="935"/>
      <c r="AK1333" s="783"/>
      <c r="AL1333" s="1219"/>
      <c r="AM1333" s="1219"/>
      <c r="AN1333" s="1260"/>
      <c r="AO1333" s="878">
        <v>1480</v>
      </c>
      <c r="AP1333" s="935" t="s">
        <v>3</v>
      </c>
      <c r="AQ1333" s="1724"/>
      <c r="AR1333" s="153"/>
      <c r="AS1333" s="121"/>
      <c r="AT1333" s="121"/>
      <c r="AU1333" s="121"/>
      <c r="AV1333" s="121"/>
      <c r="AW1333" s="121"/>
      <c r="AX1333" s="121"/>
      <c r="AY1333" s="121"/>
      <c r="AZ1333" s="121"/>
      <c r="BA1333" s="121"/>
      <c r="BB1333" s="121"/>
      <c r="BC1333" s="121"/>
      <c r="BD1333" s="121"/>
      <c r="BE1333" s="121"/>
      <c r="BF1333" s="121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21"/>
      <c r="BS1333" s="121"/>
      <c r="BT1333" s="121"/>
      <c r="BU1333" s="121"/>
      <c r="BV1333" s="121"/>
      <c r="BW1333" s="121"/>
      <c r="BX1333" s="121"/>
      <c r="BY1333" s="121"/>
      <c r="BZ1333" s="121"/>
      <c r="CA1333" s="121"/>
      <c r="CB1333" s="121"/>
      <c r="CC1333" s="121"/>
      <c r="CD1333" s="121"/>
      <c r="CE1333" s="121"/>
      <c r="CF1333" s="121"/>
      <c r="CG1333" s="121"/>
      <c r="CH1333" s="121"/>
    </row>
    <row r="1334" spans="1:86" s="122" customFormat="1" ht="21.75" hidden="1" customHeight="1" x14ac:dyDescent="0.2">
      <c r="A1334" s="1173"/>
      <c r="B1334" s="1710"/>
      <c r="C1334" s="1273"/>
      <c r="D1334" s="1473"/>
      <c r="E1334" s="1688"/>
      <c r="F1334" s="1473"/>
      <c r="G1334" s="1688"/>
      <c r="H1334" s="153"/>
      <c r="I1334" s="153"/>
      <c r="J1334" s="153"/>
      <c r="K1334" s="153"/>
      <c r="L1334" s="153"/>
      <c r="M1334" s="153"/>
      <c r="N1334" s="153"/>
      <c r="O1334" s="153"/>
      <c r="P1334" s="153"/>
      <c r="Q1334" s="153"/>
      <c r="R1334" s="153"/>
      <c r="S1334" s="207"/>
      <c r="T1334" s="153"/>
      <c r="U1334" s="153"/>
      <c r="V1334" s="153"/>
      <c r="W1334" s="91"/>
      <c r="X1334" s="92"/>
      <c r="Y1334" s="155"/>
      <c r="Z1334" s="153"/>
      <c r="AA1334" s="153"/>
      <c r="AB1334" s="153"/>
      <c r="AC1334" s="153"/>
      <c r="AD1334" s="153"/>
      <c r="AE1334" s="153"/>
      <c r="AF1334" s="268"/>
      <c r="AG1334" s="268"/>
      <c r="AH1334" s="266"/>
      <c r="AI1334" s="878"/>
      <c r="AJ1334" s="935"/>
      <c r="AK1334" s="783"/>
      <c r="AL1334" s="1219"/>
      <c r="AM1334" s="1219"/>
      <c r="AN1334" s="266" t="s">
        <v>35</v>
      </c>
      <c r="AO1334" s="878">
        <v>2</v>
      </c>
      <c r="AP1334" s="935" t="s">
        <v>8</v>
      </c>
      <c r="AQ1334" s="1724"/>
      <c r="AR1334" s="153"/>
      <c r="AS1334" s="121"/>
      <c r="AT1334" s="121"/>
      <c r="AU1334" s="121"/>
      <c r="AV1334" s="121"/>
      <c r="AW1334" s="121"/>
      <c r="AX1334" s="121"/>
      <c r="AY1334" s="121"/>
      <c r="AZ1334" s="121"/>
      <c r="BA1334" s="121"/>
      <c r="BB1334" s="121"/>
      <c r="BC1334" s="121"/>
      <c r="BD1334" s="121"/>
      <c r="BE1334" s="121"/>
      <c r="BF1334" s="121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21"/>
      <c r="BS1334" s="121"/>
      <c r="BT1334" s="121"/>
      <c r="BU1334" s="121"/>
      <c r="BV1334" s="121"/>
      <c r="BW1334" s="121"/>
      <c r="BX1334" s="121"/>
      <c r="BY1334" s="121"/>
      <c r="BZ1334" s="121"/>
      <c r="CA1334" s="121"/>
      <c r="CB1334" s="121"/>
      <c r="CC1334" s="121"/>
      <c r="CD1334" s="121"/>
      <c r="CE1334" s="121"/>
      <c r="CF1334" s="121"/>
      <c r="CG1334" s="121"/>
      <c r="CH1334" s="121"/>
    </row>
    <row r="1335" spans="1:86" s="122" customFormat="1" ht="21.75" customHeight="1" x14ac:dyDescent="0.2">
      <c r="A1335" s="1603">
        <v>9</v>
      </c>
      <c r="B1335" s="1690">
        <v>3404378</v>
      </c>
      <c r="C1335" s="1343" t="s">
        <v>619</v>
      </c>
      <c r="D1335" s="1472">
        <v>5.9729999999999999</v>
      </c>
      <c r="E1335" s="1687">
        <f>D1335*4000</f>
        <v>23892</v>
      </c>
      <c r="F1335" s="1472">
        <v>0.66600000000000004</v>
      </c>
      <c r="G1335" s="1687">
        <v>2680</v>
      </c>
      <c r="H1335" s="153"/>
      <c r="I1335" s="153"/>
      <c r="J1335" s="153"/>
      <c r="K1335" s="153"/>
      <c r="L1335" s="153"/>
      <c r="M1335" s="153"/>
      <c r="N1335" s="153"/>
      <c r="O1335" s="153"/>
      <c r="P1335" s="153"/>
      <c r="Q1335" s="153"/>
      <c r="R1335" s="153"/>
      <c r="S1335" s="207"/>
      <c r="T1335" s="153"/>
      <c r="U1335" s="153"/>
      <c r="V1335" s="153"/>
      <c r="W1335" s="91"/>
      <c r="X1335" s="92"/>
      <c r="Y1335" s="155"/>
      <c r="Z1335" s="153"/>
      <c r="AA1335" s="153"/>
      <c r="AB1335" s="153"/>
      <c r="AC1335" s="153"/>
      <c r="AD1335" s="153"/>
      <c r="AE1335" s="153"/>
      <c r="AF1335" s="268"/>
      <c r="AG1335" s="174"/>
      <c r="AH1335" s="174"/>
      <c r="AI1335" s="975"/>
      <c r="AJ1335" s="878"/>
      <c r="AK1335" s="783"/>
      <c r="AL1335" s="1691" t="s">
        <v>441</v>
      </c>
      <c r="AM1335" s="1279" t="s">
        <v>677</v>
      </c>
      <c r="AN1335" s="1279" t="s">
        <v>506</v>
      </c>
      <c r="AO1335" s="975">
        <v>0.66600000000000004</v>
      </c>
      <c r="AP1335" s="878" t="s">
        <v>2</v>
      </c>
      <c r="AQ1335" s="1720">
        <v>2823.9</v>
      </c>
      <c r="AR1335" s="153"/>
      <c r="AS1335" s="121"/>
      <c r="AT1335" s="121"/>
      <c r="AU1335" s="121"/>
      <c r="AV1335" s="121"/>
      <c r="AW1335" s="121"/>
      <c r="AX1335" s="121"/>
      <c r="AY1335" s="121"/>
      <c r="AZ1335" s="121"/>
      <c r="BA1335" s="121"/>
      <c r="BB1335" s="121"/>
      <c r="BC1335" s="121"/>
      <c r="BD1335" s="121"/>
      <c r="BE1335" s="121"/>
      <c r="BF1335" s="121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21"/>
      <c r="BS1335" s="121"/>
      <c r="BT1335" s="121"/>
      <c r="BU1335" s="121"/>
      <c r="BV1335" s="121"/>
      <c r="BW1335" s="121"/>
      <c r="BX1335" s="121"/>
      <c r="BY1335" s="121"/>
      <c r="BZ1335" s="121"/>
      <c r="CA1335" s="121"/>
      <c r="CB1335" s="121"/>
      <c r="CC1335" s="121"/>
      <c r="CD1335" s="121"/>
      <c r="CE1335" s="121"/>
      <c r="CF1335" s="121"/>
      <c r="CG1335" s="121"/>
      <c r="CH1335" s="121"/>
    </row>
    <row r="1336" spans="1:86" s="122" customFormat="1" ht="21.75" customHeight="1" x14ac:dyDescent="0.2">
      <c r="A1336" s="1604"/>
      <c r="B1336" s="1690"/>
      <c r="C1336" s="1699"/>
      <c r="D1336" s="1543"/>
      <c r="E1336" s="1689"/>
      <c r="F1336" s="1543"/>
      <c r="G1336" s="1689"/>
      <c r="H1336" s="153"/>
      <c r="I1336" s="153"/>
      <c r="J1336" s="153"/>
      <c r="K1336" s="153"/>
      <c r="L1336" s="153"/>
      <c r="M1336" s="153"/>
      <c r="N1336" s="153"/>
      <c r="O1336" s="153"/>
      <c r="P1336" s="153"/>
      <c r="Q1336" s="153"/>
      <c r="R1336" s="153"/>
      <c r="S1336" s="207"/>
      <c r="T1336" s="153"/>
      <c r="U1336" s="153"/>
      <c r="V1336" s="153"/>
      <c r="W1336" s="91"/>
      <c r="X1336" s="92"/>
      <c r="Y1336" s="155"/>
      <c r="Z1336" s="153"/>
      <c r="AA1336" s="153"/>
      <c r="AB1336" s="153"/>
      <c r="AC1336" s="153"/>
      <c r="AD1336" s="153"/>
      <c r="AE1336" s="153"/>
      <c r="AF1336" s="268"/>
      <c r="AG1336" s="174"/>
      <c r="AH1336" s="174"/>
      <c r="AI1336" s="878"/>
      <c r="AJ1336" s="878"/>
      <c r="AK1336" s="783"/>
      <c r="AL1336" s="1330"/>
      <c r="AM1336" s="1261"/>
      <c r="AN1336" s="1268"/>
      <c r="AO1336" s="878">
        <v>2680</v>
      </c>
      <c r="AP1336" s="878" t="s">
        <v>3</v>
      </c>
      <c r="AQ1336" s="1721"/>
      <c r="AR1336" s="153"/>
      <c r="AS1336" s="121"/>
      <c r="AT1336" s="121"/>
      <c r="AU1336" s="121"/>
      <c r="AV1336" s="121"/>
      <c r="AW1336" s="121"/>
      <c r="AX1336" s="121"/>
      <c r="AY1336" s="121"/>
      <c r="AZ1336" s="121"/>
      <c r="BA1336" s="121"/>
      <c r="BB1336" s="121"/>
      <c r="BC1336" s="121"/>
      <c r="BD1336" s="121"/>
      <c r="BE1336" s="121"/>
      <c r="BF1336" s="121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21"/>
      <c r="BS1336" s="121"/>
      <c r="BT1336" s="121"/>
      <c r="BU1336" s="121"/>
      <c r="BV1336" s="121"/>
      <c r="BW1336" s="121"/>
      <c r="BX1336" s="121"/>
      <c r="BY1336" s="121"/>
      <c r="BZ1336" s="121"/>
      <c r="CA1336" s="121"/>
      <c r="CB1336" s="121"/>
      <c r="CC1336" s="121"/>
      <c r="CD1336" s="121"/>
      <c r="CE1336" s="121"/>
      <c r="CF1336" s="121"/>
      <c r="CG1336" s="121"/>
      <c r="CH1336" s="121"/>
    </row>
    <row r="1337" spans="1:86" s="122" customFormat="1" ht="21.75" hidden="1" customHeight="1" x14ac:dyDescent="0.2">
      <c r="A1337" s="1173"/>
      <c r="B1337" s="1690"/>
      <c r="C1337" s="1273"/>
      <c r="D1337" s="1473"/>
      <c r="E1337" s="1688"/>
      <c r="F1337" s="1473"/>
      <c r="G1337" s="1688"/>
      <c r="H1337" s="153"/>
      <c r="I1337" s="153"/>
      <c r="J1337" s="153"/>
      <c r="K1337" s="153"/>
      <c r="L1337" s="153"/>
      <c r="M1337" s="153"/>
      <c r="N1337" s="153"/>
      <c r="O1337" s="153"/>
      <c r="P1337" s="153"/>
      <c r="Q1337" s="153"/>
      <c r="R1337" s="153"/>
      <c r="S1337" s="207"/>
      <c r="T1337" s="153"/>
      <c r="U1337" s="153"/>
      <c r="V1337" s="153"/>
      <c r="W1337" s="91"/>
      <c r="X1337" s="92"/>
      <c r="Y1337" s="155"/>
      <c r="Z1337" s="153"/>
      <c r="AA1337" s="153"/>
      <c r="AB1337" s="153"/>
      <c r="AC1337" s="153"/>
      <c r="AD1337" s="153"/>
      <c r="AE1337" s="153"/>
      <c r="AF1337" s="268"/>
      <c r="AG1337" s="174"/>
      <c r="AH1337" s="266"/>
      <c r="AI1337" s="878"/>
      <c r="AJ1337" s="878"/>
      <c r="AK1337" s="783"/>
      <c r="AL1337" s="1692"/>
      <c r="AM1337" s="1268"/>
      <c r="AN1337" s="266" t="s">
        <v>35</v>
      </c>
      <c r="AO1337" s="878">
        <v>3</v>
      </c>
      <c r="AP1337" s="878" t="s">
        <v>8</v>
      </c>
      <c r="AQ1337" s="1722"/>
      <c r="AR1337" s="153"/>
      <c r="AS1337" s="121"/>
      <c r="AT1337" s="121"/>
      <c r="AU1337" s="121"/>
      <c r="AV1337" s="121"/>
      <c r="AW1337" s="121"/>
      <c r="AX1337" s="121"/>
      <c r="AY1337" s="121"/>
      <c r="AZ1337" s="121"/>
      <c r="BA1337" s="121"/>
      <c r="BB1337" s="121"/>
      <c r="BC1337" s="121"/>
      <c r="BD1337" s="121"/>
      <c r="BE1337" s="121"/>
      <c r="BF1337" s="121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21"/>
      <c r="BS1337" s="121"/>
      <c r="BT1337" s="121"/>
      <c r="BU1337" s="121"/>
      <c r="BV1337" s="121"/>
      <c r="BW1337" s="121"/>
      <c r="BX1337" s="121"/>
      <c r="BY1337" s="121"/>
      <c r="BZ1337" s="121"/>
      <c r="CA1337" s="121"/>
      <c r="CB1337" s="121"/>
      <c r="CC1337" s="121"/>
      <c r="CD1337" s="121"/>
      <c r="CE1337" s="121"/>
      <c r="CF1337" s="121"/>
      <c r="CG1337" s="121"/>
      <c r="CH1337" s="121"/>
    </row>
    <row r="1338" spans="1:86" s="122" customFormat="1" ht="21.75" customHeight="1" x14ac:dyDescent="0.2">
      <c r="A1338" s="1603">
        <v>10</v>
      </c>
      <c r="B1338" s="1690">
        <v>2242433</v>
      </c>
      <c r="C1338" s="1343" t="s">
        <v>269</v>
      </c>
      <c r="D1338" s="1472">
        <v>0.54200000000000004</v>
      </c>
      <c r="E1338" s="1687">
        <f>D1338*4000</f>
        <v>2168</v>
      </c>
      <c r="F1338" s="1472">
        <v>0.432</v>
      </c>
      <c r="G1338" s="1687">
        <v>1720</v>
      </c>
      <c r="H1338" s="153"/>
      <c r="I1338" s="153"/>
      <c r="J1338" s="153"/>
      <c r="K1338" s="153"/>
      <c r="L1338" s="153"/>
      <c r="M1338" s="153"/>
      <c r="N1338" s="153"/>
      <c r="O1338" s="153"/>
      <c r="P1338" s="153"/>
      <c r="Q1338" s="153"/>
      <c r="R1338" s="153"/>
      <c r="S1338" s="207"/>
      <c r="T1338" s="153"/>
      <c r="U1338" s="153"/>
      <c r="V1338" s="153"/>
      <c r="W1338" s="91"/>
      <c r="X1338" s="92"/>
      <c r="Y1338" s="155"/>
      <c r="Z1338" s="153"/>
      <c r="AA1338" s="153"/>
      <c r="AB1338" s="153"/>
      <c r="AC1338" s="153"/>
      <c r="AD1338" s="153"/>
      <c r="AE1338" s="153"/>
      <c r="AF1338" s="268"/>
      <c r="AG1338" s="174"/>
      <c r="AH1338" s="174"/>
      <c r="AI1338" s="975"/>
      <c r="AJ1338" s="878"/>
      <c r="AK1338" s="783"/>
      <c r="AL1338" s="1219" t="s">
        <v>441</v>
      </c>
      <c r="AM1338" s="1260" t="s">
        <v>678</v>
      </c>
      <c r="AN1338" s="1279" t="s">
        <v>506</v>
      </c>
      <c r="AO1338" s="975">
        <v>0.432</v>
      </c>
      <c r="AP1338" s="878" t="s">
        <v>2</v>
      </c>
      <c r="AQ1338" s="1720">
        <v>3055.1</v>
      </c>
      <c r="AR1338" s="153"/>
      <c r="AS1338" s="121"/>
      <c r="AT1338" s="121"/>
      <c r="AU1338" s="121"/>
      <c r="AV1338" s="121"/>
      <c r="AW1338" s="121"/>
      <c r="AX1338" s="121"/>
      <c r="AY1338" s="121"/>
      <c r="AZ1338" s="121"/>
      <c r="BA1338" s="121"/>
      <c r="BB1338" s="121"/>
      <c r="BC1338" s="121"/>
      <c r="BD1338" s="121"/>
      <c r="BE1338" s="121"/>
      <c r="BF1338" s="121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21"/>
      <c r="BS1338" s="121"/>
      <c r="BT1338" s="121"/>
      <c r="BU1338" s="121"/>
      <c r="BV1338" s="121"/>
      <c r="BW1338" s="121"/>
      <c r="BX1338" s="121"/>
      <c r="BY1338" s="121"/>
      <c r="BZ1338" s="121"/>
      <c r="CA1338" s="121"/>
      <c r="CB1338" s="121"/>
      <c r="CC1338" s="121"/>
      <c r="CD1338" s="121"/>
      <c r="CE1338" s="121"/>
      <c r="CF1338" s="121"/>
      <c r="CG1338" s="121"/>
      <c r="CH1338" s="121"/>
    </row>
    <row r="1339" spans="1:86" s="122" customFormat="1" ht="21.75" customHeight="1" x14ac:dyDescent="0.2">
      <c r="A1339" s="1604"/>
      <c r="B1339" s="1690"/>
      <c r="C1339" s="1699"/>
      <c r="D1339" s="1543"/>
      <c r="E1339" s="1689"/>
      <c r="F1339" s="1543"/>
      <c r="G1339" s="1689"/>
      <c r="H1339" s="153"/>
      <c r="I1339" s="153"/>
      <c r="J1339" s="153"/>
      <c r="K1339" s="153"/>
      <c r="L1339" s="153"/>
      <c r="M1339" s="153"/>
      <c r="N1339" s="153"/>
      <c r="O1339" s="153"/>
      <c r="P1339" s="153"/>
      <c r="Q1339" s="153"/>
      <c r="R1339" s="153"/>
      <c r="S1339" s="207"/>
      <c r="T1339" s="153"/>
      <c r="U1339" s="153"/>
      <c r="V1339" s="153"/>
      <c r="W1339" s="91"/>
      <c r="X1339" s="92"/>
      <c r="Y1339" s="155"/>
      <c r="Z1339" s="153"/>
      <c r="AA1339" s="153"/>
      <c r="AB1339" s="153"/>
      <c r="AC1339" s="153"/>
      <c r="AD1339" s="153"/>
      <c r="AE1339" s="153"/>
      <c r="AF1339" s="268"/>
      <c r="AG1339" s="174"/>
      <c r="AH1339" s="174"/>
      <c r="AI1339" s="878"/>
      <c r="AJ1339" s="878"/>
      <c r="AK1339" s="783"/>
      <c r="AL1339" s="1219"/>
      <c r="AM1339" s="1260"/>
      <c r="AN1339" s="1268"/>
      <c r="AO1339" s="878">
        <v>1720</v>
      </c>
      <c r="AP1339" s="878" t="s">
        <v>4</v>
      </c>
      <c r="AQ1339" s="1721"/>
      <c r="AR1339" s="153"/>
      <c r="AS1339" s="121"/>
      <c r="AT1339" s="121"/>
      <c r="AU1339" s="121"/>
      <c r="AV1339" s="121"/>
      <c r="AW1339" s="121"/>
      <c r="AX1339" s="121"/>
      <c r="AY1339" s="121"/>
      <c r="AZ1339" s="121"/>
      <c r="BA1339" s="121"/>
      <c r="BB1339" s="121"/>
      <c r="BC1339" s="121"/>
      <c r="BD1339" s="121"/>
      <c r="BE1339" s="121"/>
      <c r="BF1339" s="121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21"/>
      <c r="BS1339" s="121"/>
      <c r="BT1339" s="121"/>
      <c r="BU1339" s="121"/>
      <c r="BV1339" s="121"/>
      <c r="BW1339" s="121"/>
      <c r="BX1339" s="121"/>
      <c r="BY1339" s="121"/>
      <c r="BZ1339" s="121"/>
      <c r="CA1339" s="121"/>
      <c r="CB1339" s="121"/>
      <c r="CC1339" s="121"/>
      <c r="CD1339" s="121"/>
      <c r="CE1339" s="121"/>
      <c r="CF1339" s="121"/>
      <c r="CG1339" s="121"/>
      <c r="CH1339" s="121"/>
    </row>
    <row r="1340" spans="1:86" s="122" customFormat="1" ht="21.75" hidden="1" customHeight="1" x14ac:dyDescent="0.2">
      <c r="A1340" s="1173"/>
      <c r="B1340" s="1690"/>
      <c r="C1340" s="1273"/>
      <c r="D1340" s="1473"/>
      <c r="E1340" s="1688"/>
      <c r="F1340" s="1473"/>
      <c r="G1340" s="1688"/>
      <c r="H1340" s="153"/>
      <c r="I1340" s="153"/>
      <c r="J1340" s="153"/>
      <c r="K1340" s="153"/>
      <c r="L1340" s="153"/>
      <c r="M1340" s="153"/>
      <c r="N1340" s="153"/>
      <c r="O1340" s="153"/>
      <c r="P1340" s="153"/>
      <c r="Q1340" s="153"/>
      <c r="R1340" s="153"/>
      <c r="S1340" s="207"/>
      <c r="T1340" s="153"/>
      <c r="U1340" s="153"/>
      <c r="V1340" s="153"/>
      <c r="W1340" s="91"/>
      <c r="X1340" s="92"/>
      <c r="Y1340" s="155"/>
      <c r="Z1340" s="153"/>
      <c r="AA1340" s="153"/>
      <c r="AB1340" s="153"/>
      <c r="AC1340" s="153"/>
      <c r="AD1340" s="153"/>
      <c r="AE1340" s="153"/>
      <c r="AF1340" s="268"/>
      <c r="AG1340" s="174"/>
      <c r="AH1340" s="266"/>
      <c r="AI1340" s="878"/>
      <c r="AJ1340" s="878"/>
      <c r="AK1340" s="783"/>
      <c r="AL1340" s="1219"/>
      <c r="AM1340" s="1260"/>
      <c r="AN1340" s="266" t="s">
        <v>35</v>
      </c>
      <c r="AO1340" s="878">
        <v>13</v>
      </c>
      <c r="AP1340" s="878" t="s">
        <v>8</v>
      </c>
      <c r="AQ1340" s="1722"/>
      <c r="AR1340" s="153"/>
      <c r="AS1340" s="121"/>
      <c r="AT1340" s="121"/>
      <c r="AU1340" s="121"/>
      <c r="AV1340" s="121"/>
      <c r="AW1340" s="121"/>
      <c r="AX1340" s="121"/>
      <c r="AY1340" s="121"/>
      <c r="AZ1340" s="121"/>
      <c r="BA1340" s="121"/>
      <c r="BB1340" s="121"/>
      <c r="BC1340" s="121"/>
      <c r="BD1340" s="121"/>
      <c r="BE1340" s="121"/>
      <c r="BF1340" s="121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21"/>
      <c r="BS1340" s="121"/>
      <c r="BT1340" s="121"/>
      <c r="BU1340" s="121"/>
      <c r="BV1340" s="121"/>
      <c r="BW1340" s="121"/>
      <c r="BX1340" s="121"/>
      <c r="BY1340" s="121"/>
      <c r="BZ1340" s="121"/>
      <c r="CA1340" s="121"/>
      <c r="CB1340" s="121"/>
      <c r="CC1340" s="121"/>
      <c r="CD1340" s="121"/>
      <c r="CE1340" s="121"/>
      <c r="CF1340" s="121"/>
      <c r="CG1340" s="121"/>
      <c r="CH1340" s="121"/>
    </row>
    <row r="1341" spans="1:86" s="122" customFormat="1" ht="21.75" hidden="1" customHeight="1" x14ac:dyDescent="0.2">
      <c r="A1341" s="1173"/>
      <c r="B1341" s="1690">
        <v>2244668</v>
      </c>
      <c r="C1341" s="1343" t="s">
        <v>270</v>
      </c>
      <c r="D1341" s="1472">
        <v>0.55400000000000005</v>
      </c>
      <c r="E1341" s="1687">
        <f t="shared" ref="E1341" si="24">D1341*4000</f>
        <v>2216</v>
      </c>
      <c r="F1341" s="1472">
        <v>0.47799999999999998</v>
      </c>
      <c r="G1341" s="1687">
        <v>1920</v>
      </c>
      <c r="H1341" s="153"/>
      <c r="I1341" s="153"/>
      <c r="J1341" s="153"/>
      <c r="K1341" s="153"/>
      <c r="L1341" s="153"/>
      <c r="M1341" s="153"/>
      <c r="N1341" s="153"/>
      <c r="O1341" s="153"/>
      <c r="P1341" s="153"/>
      <c r="Q1341" s="153"/>
      <c r="R1341" s="153"/>
      <c r="S1341" s="207"/>
      <c r="T1341" s="153"/>
      <c r="U1341" s="153"/>
      <c r="V1341" s="153"/>
      <c r="W1341" s="91"/>
      <c r="X1341" s="92"/>
      <c r="Y1341" s="155"/>
      <c r="Z1341" s="153"/>
      <c r="AA1341" s="153"/>
      <c r="AB1341" s="153"/>
      <c r="AC1341" s="153"/>
      <c r="AD1341" s="153"/>
      <c r="AE1341" s="153"/>
      <c r="AF1341" s="1691" t="s">
        <v>441</v>
      </c>
      <c r="AG1341" s="1279" t="s">
        <v>667</v>
      </c>
      <c r="AH1341" s="1279" t="s">
        <v>506</v>
      </c>
      <c r="AI1341" s="975">
        <v>0.47799999999999998</v>
      </c>
      <c r="AJ1341" s="878" t="s">
        <v>2</v>
      </c>
      <c r="AK1341" s="1720">
        <v>2023.1</v>
      </c>
      <c r="AL1341" s="295"/>
      <c r="AM1341" s="1184"/>
      <c r="AN1341" s="891"/>
      <c r="AO1341" s="883"/>
      <c r="AP1341" s="883"/>
      <c r="AQ1341" s="1184"/>
      <c r="AR1341" s="153"/>
      <c r="AS1341" s="121"/>
      <c r="AT1341" s="121"/>
      <c r="AU1341" s="121"/>
      <c r="AV1341" s="121"/>
      <c r="AW1341" s="121"/>
      <c r="AX1341" s="121"/>
      <c r="AY1341" s="121"/>
      <c r="AZ1341" s="121"/>
      <c r="BA1341" s="121"/>
      <c r="BB1341" s="121"/>
      <c r="BC1341" s="121"/>
      <c r="BD1341" s="121"/>
      <c r="BE1341" s="121"/>
      <c r="BF1341" s="121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21"/>
      <c r="BS1341" s="121"/>
      <c r="BT1341" s="121"/>
      <c r="BU1341" s="121"/>
      <c r="BV1341" s="121"/>
      <c r="BW1341" s="121"/>
      <c r="BX1341" s="121"/>
      <c r="BY1341" s="121"/>
      <c r="BZ1341" s="121"/>
      <c r="CA1341" s="121"/>
      <c r="CB1341" s="121"/>
      <c r="CC1341" s="121"/>
      <c r="CD1341" s="121"/>
      <c r="CE1341" s="121"/>
      <c r="CF1341" s="121"/>
      <c r="CG1341" s="121"/>
      <c r="CH1341" s="121"/>
    </row>
    <row r="1342" spans="1:86" s="122" customFormat="1" ht="21.75" hidden="1" customHeight="1" x14ac:dyDescent="0.2">
      <c r="A1342" s="1173"/>
      <c r="B1342" s="1690"/>
      <c r="C1342" s="1699"/>
      <c r="D1342" s="1543"/>
      <c r="E1342" s="1689"/>
      <c r="F1342" s="1543"/>
      <c r="G1342" s="1689"/>
      <c r="H1342" s="153"/>
      <c r="I1342" s="153"/>
      <c r="J1342" s="153"/>
      <c r="K1342" s="153"/>
      <c r="L1342" s="153"/>
      <c r="M1342" s="153"/>
      <c r="N1342" s="153"/>
      <c r="O1342" s="153"/>
      <c r="P1342" s="153"/>
      <c r="Q1342" s="153"/>
      <c r="R1342" s="153"/>
      <c r="S1342" s="207"/>
      <c r="T1342" s="153"/>
      <c r="U1342" s="153"/>
      <c r="V1342" s="153"/>
      <c r="W1342" s="91"/>
      <c r="X1342" s="92"/>
      <c r="Y1342" s="155"/>
      <c r="Z1342" s="153"/>
      <c r="AA1342" s="153"/>
      <c r="AB1342" s="153"/>
      <c r="AC1342" s="153"/>
      <c r="AD1342" s="153"/>
      <c r="AE1342" s="153"/>
      <c r="AF1342" s="1330"/>
      <c r="AG1342" s="1261"/>
      <c r="AH1342" s="1268"/>
      <c r="AI1342" s="878">
        <v>1920</v>
      </c>
      <c r="AJ1342" s="878" t="s">
        <v>3</v>
      </c>
      <c r="AK1342" s="1721"/>
      <c r="AL1342" s="267"/>
      <c r="AM1342" s="1184"/>
      <c r="AN1342" s="891"/>
      <c r="AO1342" s="883"/>
      <c r="AP1342" s="883"/>
      <c r="AQ1342" s="1184"/>
      <c r="AR1342" s="153"/>
      <c r="AS1342" s="121"/>
      <c r="AT1342" s="121"/>
      <c r="AU1342" s="121"/>
      <c r="AV1342" s="121"/>
      <c r="AW1342" s="121"/>
      <c r="AX1342" s="121"/>
      <c r="AY1342" s="121"/>
      <c r="AZ1342" s="121"/>
      <c r="BA1342" s="121"/>
      <c r="BB1342" s="121"/>
      <c r="BC1342" s="121"/>
      <c r="BD1342" s="121"/>
      <c r="BE1342" s="121"/>
      <c r="BF1342" s="121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21"/>
      <c r="BS1342" s="121"/>
      <c r="BT1342" s="121"/>
      <c r="BU1342" s="121"/>
      <c r="BV1342" s="121"/>
      <c r="BW1342" s="121"/>
      <c r="BX1342" s="121"/>
      <c r="BY1342" s="121"/>
      <c r="BZ1342" s="121"/>
      <c r="CA1342" s="121"/>
      <c r="CB1342" s="121"/>
      <c r="CC1342" s="121"/>
      <c r="CD1342" s="121"/>
      <c r="CE1342" s="121"/>
      <c r="CF1342" s="121"/>
      <c r="CG1342" s="121"/>
      <c r="CH1342" s="121"/>
    </row>
    <row r="1343" spans="1:86" s="122" customFormat="1" ht="21.75" hidden="1" customHeight="1" x14ac:dyDescent="0.2">
      <c r="A1343" s="1173"/>
      <c r="B1343" s="1690"/>
      <c r="C1343" s="1273"/>
      <c r="D1343" s="1473"/>
      <c r="E1343" s="1688"/>
      <c r="F1343" s="1473"/>
      <c r="G1343" s="1688"/>
      <c r="H1343" s="153"/>
      <c r="I1343" s="153"/>
      <c r="J1343" s="153"/>
      <c r="K1343" s="153"/>
      <c r="L1343" s="153"/>
      <c r="M1343" s="153"/>
      <c r="N1343" s="153"/>
      <c r="O1343" s="153"/>
      <c r="P1343" s="153"/>
      <c r="Q1343" s="153"/>
      <c r="R1343" s="153"/>
      <c r="S1343" s="207"/>
      <c r="T1343" s="153"/>
      <c r="U1343" s="153"/>
      <c r="V1343" s="153"/>
      <c r="W1343" s="91"/>
      <c r="X1343" s="92"/>
      <c r="Y1343" s="155"/>
      <c r="Z1343" s="153"/>
      <c r="AA1343" s="153"/>
      <c r="AB1343" s="153"/>
      <c r="AC1343" s="153"/>
      <c r="AD1343" s="153"/>
      <c r="AE1343" s="153"/>
      <c r="AF1343" s="1692"/>
      <c r="AG1343" s="1268"/>
      <c r="AH1343" s="266" t="s">
        <v>35</v>
      </c>
      <c r="AI1343" s="878">
        <v>10</v>
      </c>
      <c r="AJ1343" s="878" t="s">
        <v>8</v>
      </c>
      <c r="AK1343" s="1722"/>
      <c r="AL1343" s="267"/>
      <c r="AM1343" s="1184"/>
      <c r="AN1343" s="891"/>
      <c r="AO1343" s="883"/>
      <c r="AP1343" s="883"/>
      <c r="AQ1343" s="1184"/>
      <c r="AR1343" s="153"/>
      <c r="AS1343" s="121"/>
      <c r="AT1343" s="121"/>
      <c r="AU1343" s="121"/>
      <c r="AV1343" s="121"/>
      <c r="AW1343" s="121"/>
      <c r="AX1343" s="121"/>
      <c r="AY1343" s="121"/>
      <c r="AZ1343" s="121"/>
      <c r="BA1343" s="121"/>
      <c r="BB1343" s="121"/>
      <c r="BC1343" s="121"/>
      <c r="BD1343" s="121"/>
      <c r="BE1343" s="121"/>
      <c r="BF1343" s="121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21"/>
      <c r="BS1343" s="121"/>
      <c r="BT1343" s="121"/>
      <c r="BU1343" s="121"/>
      <c r="BV1343" s="121"/>
      <c r="BW1343" s="121"/>
      <c r="BX1343" s="121"/>
      <c r="BY1343" s="121"/>
      <c r="BZ1343" s="121"/>
      <c r="CA1343" s="121"/>
      <c r="CB1343" s="121"/>
      <c r="CC1343" s="121"/>
      <c r="CD1343" s="121"/>
      <c r="CE1343" s="121"/>
      <c r="CF1343" s="121"/>
      <c r="CG1343" s="121"/>
      <c r="CH1343" s="121"/>
    </row>
    <row r="1344" spans="1:86" s="122" customFormat="1" ht="21.75" customHeight="1" x14ac:dyDescent="0.2">
      <c r="A1344" s="1603">
        <v>11</v>
      </c>
      <c r="B1344" s="1419">
        <v>2242764</v>
      </c>
      <c r="C1344" s="1343" t="s">
        <v>620</v>
      </c>
      <c r="D1344" s="1472">
        <v>3.13</v>
      </c>
      <c r="E1344" s="1470">
        <v>14085</v>
      </c>
      <c r="F1344" s="1472">
        <v>3.13</v>
      </c>
      <c r="G1344" s="1470">
        <v>14085</v>
      </c>
      <c r="H1344" s="153"/>
      <c r="I1344" s="153"/>
      <c r="J1344" s="153"/>
      <c r="K1344" s="153"/>
      <c r="L1344" s="153"/>
      <c r="M1344" s="153"/>
      <c r="N1344" s="153"/>
      <c r="O1344" s="153"/>
      <c r="P1344" s="153"/>
      <c r="Q1344" s="153"/>
      <c r="R1344" s="153"/>
      <c r="S1344" s="207"/>
      <c r="T1344" s="153"/>
      <c r="U1344" s="153"/>
      <c r="V1344" s="153"/>
      <c r="W1344" s="91"/>
      <c r="X1344" s="92"/>
      <c r="Y1344" s="155"/>
      <c r="Z1344" s="153"/>
      <c r="AA1344" s="153"/>
      <c r="AB1344" s="153"/>
      <c r="AC1344" s="153"/>
      <c r="AD1344" s="153"/>
      <c r="AE1344" s="153"/>
      <c r="AF1344" s="1279" t="s">
        <v>441</v>
      </c>
      <c r="AG1344" s="1279" t="s">
        <v>541</v>
      </c>
      <c r="AH1344" s="1279" t="s">
        <v>506</v>
      </c>
      <c r="AI1344" s="42">
        <v>3.13</v>
      </c>
      <c r="AJ1344" s="883" t="s">
        <v>2</v>
      </c>
      <c r="AK1344" s="2220">
        <v>23829.079000000002</v>
      </c>
      <c r="AL1344" s="246"/>
      <c r="AM1344" s="174"/>
      <c r="AN1344" s="174"/>
      <c r="AO1344" s="42"/>
      <c r="AP1344" s="883"/>
      <c r="AQ1344" s="174"/>
      <c r="AR1344" s="246"/>
      <c r="AS1344" s="121"/>
      <c r="AT1344" s="121"/>
      <c r="AU1344" s="121"/>
      <c r="AV1344" s="121"/>
      <c r="AW1344" s="121"/>
      <c r="AX1344" s="121"/>
      <c r="AY1344" s="121"/>
      <c r="AZ1344" s="121"/>
      <c r="BA1344" s="121"/>
      <c r="BB1344" s="121"/>
      <c r="BC1344" s="121"/>
      <c r="BD1344" s="121"/>
      <c r="BE1344" s="121"/>
      <c r="BF1344" s="121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21"/>
      <c r="BS1344" s="121"/>
      <c r="BT1344" s="121"/>
      <c r="BU1344" s="121"/>
      <c r="BV1344" s="121"/>
      <c r="BW1344" s="121"/>
      <c r="BX1344" s="121"/>
      <c r="BY1344" s="121"/>
      <c r="BZ1344" s="121"/>
      <c r="CA1344" s="121"/>
      <c r="CB1344" s="121"/>
      <c r="CC1344" s="121"/>
      <c r="CD1344" s="121"/>
      <c r="CE1344" s="121"/>
      <c r="CF1344" s="121"/>
      <c r="CG1344" s="121"/>
      <c r="CH1344" s="121"/>
    </row>
    <row r="1345" spans="1:86" s="122" customFormat="1" ht="30.75" customHeight="1" x14ac:dyDescent="0.2">
      <c r="A1345" s="1604"/>
      <c r="B1345" s="1964"/>
      <c r="C1345" s="1699"/>
      <c r="D1345" s="1543"/>
      <c r="E1345" s="1557"/>
      <c r="F1345" s="1543"/>
      <c r="G1345" s="1557"/>
      <c r="H1345" s="153"/>
      <c r="I1345" s="153"/>
      <c r="J1345" s="153"/>
      <c r="K1345" s="153"/>
      <c r="L1345" s="153"/>
      <c r="M1345" s="153"/>
      <c r="N1345" s="153"/>
      <c r="O1345" s="153"/>
      <c r="P1345" s="153"/>
      <c r="Q1345" s="153"/>
      <c r="R1345" s="153"/>
      <c r="S1345" s="207"/>
      <c r="T1345" s="153"/>
      <c r="U1345" s="153"/>
      <c r="V1345" s="153"/>
      <c r="W1345" s="91"/>
      <c r="X1345" s="92"/>
      <c r="Y1345" s="155"/>
      <c r="Z1345" s="153"/>
      <c r="AA1345" s="153"/>
      <c r="AB1345" s="153"/>
      <c r="AC1345" s="153"/>
      <c r="AD1345" s="153"/>
      <c r="AE1345" s="153"/>
      <c r="AF1345" s="1261"/>
      <c r="AG1345" s="1261"/>
      <c r="AH1345" s="1268"/>
      <c r="AI1345" s="883">
        <v>14085</v>
      </c>
      <c r="AJ1345" s="883" t="s">
        <v>3</v>
      </c>
      <c r="AK1345" s="2221"/>
      <c r="AL1345" s="153"/>
      <c r="AM1345" s="174"/>
      <c r="AN1345" s="174"/>
      <c r="AO1345" s="883"/>
      <c r="AP1345" s="883"/>
      <c r="AQ1345" s="174"/>
      <c r="AR1345" s="92"/>
      <c r="AS1345" s="121"/>
      <c r="AT1345" s="121"/>
      <c r="AU1345" s="121"/>
      <c r="AV1345" s="121"/>
      <c r="AW1345" s="121"/>
      <c r="AX1345" s="121"/>
      <c r="AY1345" s="121"/>
      <c r="AZ1345" s="121"/>
      <c r="BA1345" s="121"/>
      <c r="BB1345" s="121"/>
      <c r="BC1345" s="121"/>
      <c r="BD1345" s="121"/>
      <c r="BE1345" s="121"/>
      <c r="BF1345" s="121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21"/>
      <c r="BS1345" s="121"/>
      <c r="BT1345" s="121"/>
      <c r="BU1345" s="121"/>
      <c r="BV1345" s="121"/>
      <c r="BW1345" s="121"/>
      <c r="BX1345" s="121"/>
      <c r="BY1345" s="121"/>
      <c r="BZ1345" s="121"/>
      <c r="CA1345" s="121"/>
      <c r="CB1345" s="121"/>
      <c r="CC1345" s="121"/>
      <c r="CD1345" s="121"/>
      <c r="CE1345" s="121"/>
      <c r="CF1345" s="121"/>
      <c r="CG1345" s="121"/>
      <c r="CH1345" s="121"/>
    </row>
    <row r="1346" spans="1:86" s="122" customFormat="1" ht="21.75" hidden="1" customHeight="1" x14ac:dyDescent="0.2">
      <c r="A1346" s="1173"/>
      <c r="B1346" s="1420"/>
      <c r="C1346" s="1273"/>
      <c r="D1346" s="1473"/>
      <c r="E1346" s="1471"/>
      <c r="F1346" s="1473"/>
      <c r="G1346" s="1471"/>
      <c r="H1346" s="153"/>
      <c r="I1346" s="153"/>
      <c r="J1346" s="153"/>
      <c r="K1346" s="153"/>
      <c r="L1346" s="153"/>
      <c r="M1346" s="153"/>
      <c r="N1346" s="153"/>
      <c r="O1346" s="153"/>
      <c r="P1346" s="153"/>
      <c r="Q1346" s="153"/>
      <c r="R1346" s="153"/>
      <c r="S1346" s="207"/>
      <c r="T1346" s="153"/>
      <c r="U1346" s="153"/>
      <c r="V1346" s="153"/>
      <c r="W1346" s="91"/>
      <c r="X1346" s="92"/>
      <c r="Y1346" s="155"/>
      <c r="Z1346" s="153"/>
      <c r="AA1346" s="153"/>
      <c r="AB1346" s="153"/>
      <c r="AC1346" s="153"/>
      <c r="AD1346" s="153"/>
      <c r="AE1346" s="153"/>
      <c r="AF1346" s="1268"/>
      <c r="AG1346" s="1268"/>
      <c r="AH1346" s="883" t="s">
        <v>35</v>
      </c>
      <c r="AI1346" s="883">
        <v>56</v>
      </c>
      <c r="AJ1346" s="883" t="s">
        <v>8</v>
      </c>
      <c r="AK1346" s="2222"/>
      <c r="AL1346" s="153"/>
      <c r="AM1346" s="174"/>
      <c r="AN1346" s="883"/>
      <c r="AO1346" s="883"/>
      <c r="AP1346" s="883"/>
      <c r="AQ1346" s="174"/>
      <c r="AR1346" s="92"/>
      <c r="AS1346" s="121"/>
      <c r="AT1346" s="121"/>
      <c r="AU1346" s="121"/>
      <c r="AV1346" s="121"/>
      <c r="AW1346" s="121"/>
      <c r="AX1346" s="121"/>
      <c r="AY1346" s="121"/>
      <c r="AZ1346" s="121"/>
      <c r="BA1346" s="121"/>
      <c r="BB1346" s="121"/>
      <c r="BC1346" s="121"/>
      <c r="BD1346" s="121"/>
      <c r="BE1346" s="121"/>
      <c r="BF1346" s="121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21"/>
      <c r="BS1346" s="121"/>
      <c r="BT1346" s="121"/>
      <c r="BU1346" s="121"/>
      <c r="BV1346" s="121"/>
      <c r="BW1346" s="121"/>
      <c r="BX1346" s="121"/>
      <c r="BY1346" s="121"/>
      <c r="BZ1346" s="121"/>
      <c r="CA1346" s="121"/>
      <c r="CB1346" s="121"/>
      <c r="CC1346" s="121"/>
      <c r="CD1346" s="121"/>
      <c r="CE1346" s="121"/>
      <c r="CF1346" s="121"/>
      <c r="CG1346" s="121"/>
      <c r="CH1346" s="121"/>
    </row>
    <row r="1347" spans="1:86" s="122" customFormat="1" ht="21.75" customHeight="1" x14ac:dyDescent="0.2">
      <c r="A1347" s="1603">
        <v>12</v>
      </c>
      <c r="B1347" s="1690">
        <v>2241787</v>
      </c>
      <c r="C1347" s="1343" t="s">
        <v>271</v>
      </c>
      <c r="D1347" s="1472">
        <v>1.1180000000000001</v>
      </c>
      <c r="E1347" s="1687">
        <v>4529</v>
      </c>
      <c r="F1347" s="1472">
        <v>0.88700000000000001</v>
      </c>
      <c r="G1347" s="1687">
        <v>3605</v>
      </c>
      <c r="H1347" s="153"/>
      <c r="I1347" s="153"/>
      <c r="J1347" s="153"/>
      <c r="K1347" s="153"/>
      <c r="L1347" s="153"/>
      <c r="M1347" s="153"/>
      <c r="N1347" s="153"/>
      <c r="O1347" s="153"/>
      <c r="P1347" s="153"/>
      <c r="Q1347" s="153"/>
      <c r="R1347" s="153"/>
      <c r="S1347" s="207"/>
      <c r="T1347" s="153"/>
      <c r="U1347" s="153"/>
      <c r="V1347" s="153"/>
      <c r="W1347" s="91"/>
      <c r="X1347" s="92"/>
      <c r="Y1347" s="155"/>
      <c r="Z1347" s="153"/>
      <c r="AA1347" s="153"/>
      <c r="AB1347" s="153"/>
      <c r="AC1347" s="153"/>
      <c r="AD1347" s="153"/>
      <c r="AE1347" s="153"/>
      <c r="AF1347" s="1691" t="s">
        <v>441</v>
      </c>
      <c r="AG1347" s="1279" t="s">
        <v>1504</v>
      </c>
      <c r="AH1347" s="1279" t="s">
        <v>506</v>
      </c>
      <c r="AI1347" s="975">
        <v>0.88700000000000001</v>
      </c>
      <c r="AJ1347" s="878" t="s">
        <v>2</v>
      </c>
      <c r="AK1347" s="1720">
        <f>3751.2*2</f>
        <v>7502.4</v>
      </c>
      <c r="AL1347" s="268"/>
      <c r="AM1347" s="174"/>
      <c r="AN1347" s="174"/>
      <c r="AO1347" s="975"/>
      <c r="AP1347" s="878"/>
      <c r="AQ1347" s="716"/>
      <c r="AR1347" s="295"/>
      <c r="AS1347" s="121"/>
      <c r="AT1347" s="121"/>
      <c r="AU1347" s="121"/>
      <c r="AV1347" s="121"/>
      <c r="AW1347" s="121"/>
      <c r="AX1347" s="121"/>
      <c r="AY1347" s="121"/>
      <c r="AZ1347" s="121"/>
      <c r="BA1347" s="121"/>
      <c r="BB1347" s="121"/>
      <c r="BC1347" s="121"/>
      <c r="BD1347" s="121"/>
      <c r="BE1347" s="121"/>
      <c r="BF1347" s="121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21"/>
      <c r="BS1347" s="121"/>
      <c r="BT1347" s="121"/>
      <c r="BU1347" s="121"/>
      <c r="BV1347" s="121"/>
      <c r="BW1347" s="121"/>
      <c r="BX1347" s="121"/>
      <c r="BY1347" s="121"/>
      <c r="BZ1347" s="121"/>
      <c r="CA1347" s="121"/>
      <c r="CB1347" s="121"/>
      <c r="CC1347" s="121"/>
      <c r="CD1347" s="121"/>
      <c r="CE1347" s="121"/>
      <c r="CF1347" s="121"/>
      <c r="CG1347" s="121"/>
      <c r="CH1347" s="121"/>
    </row>
    <row r="1348" spans="1:86" s="122" customFormat="1" ht="21.75" customHeight="1" x14ac:dyDescent="0.2">
      <c r="A1348" s="1604"/>
      <c r="B1348" s="1690"/>
      <c r="C1348" s="1699"/>
      <c r="D1348" s="1543"/>
      <c r="E1348" s="1689"/>
      <c r="F1348" s="1543"/>
      <c r="G1348" s="1689"/>
      <c r="H1348" s="153"/>
      <c r="I1348" s="153"/>
      <c r="J1348" s="153"/>
      <c r="K1348" s="153"/>
      <c r="L1348" s="153"/>
      <c r="M1348" s="153"/>
      <c r="N1348" s="153"/>
      <c r="O1348" s="153"/>
      <c r="P1348" s="153"/>
      <c r="Q1348" s="153"/>
      <c r="R1348" s="153"/>
      <c r="S1348" s="207"/>
      <c r="T1348" s="153"/>
      <c r="U1348" s="153"/>
      <c r="V1348" s="153"/>
      <c r="W1348" s="91"/>
      <c r="X1348" s="92"/>
      <c r="Y1348" s="155"/>
      <c r="Z1348" s="153"/>
      <c r="AA1348" s="153"/>
      <c r="AB1348" s="153"/>
      <c r="AC1348" s="153"/>
      <c r="AD1348" s="153"/>
      <c r="AE1348" s="153"/>
      <c r="AF1348" s="1330"/>
      <c r="AG1348" s="1261"/>
      <c r="AH1348" s="1268"/>
      <c r="AI1348" s="878">
        <v>3605</v>
      </c>
      <c r="AJ1348" s="878" t="s">
        <v>3</v>
      </c>
      <c r="AK1348" s="1721"/>
      <c r="AL1348" s="268"/>
      <c r="AM1348" s="174"/>
      <c r="AN1348" s="174"/>
      <c r="AO1348" s="878"/>
      <c r="AP1348" s="878"/>
      <c r="AQ1348" s="716"/>
      <c r="AR1348" s="295"/>
      <c r="AS1348" s="121"/>
      <c r="AT1348" s="121"/>
      <c r="AU1348" s="121"/>
      <c r="AV1348" s="121"/>
      <c r="AW1348" s="121"/>
      <c r="AX1348" s="121"/>
      <c r="AY1348" s="121"/>
      <c r="AZ1348" s="121"/>
      <c r="BA1348" s="121"/>
      <c r="BB1348" s="121"/>
      <c r="BC1348" s="121"/>
      <c r="BD1348" s="121"/>
      <c r="BE1348" s="121"/>
      <c r="BF1348" s="121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21"/>
      <c r="BS1348" s="121"/>
      <c r="BT1348" s="121"/>
      <c r="BU1348" s="121"/>
      <c r="BV1348" s="121"/>
      <c r="BW1348" s="121"/>
      <c r="BX1348" s="121"/>
      <c r="BY1348" s="121"/>
      <c r="BZ1348" s="121"/>
      <c r="CA1348" s="121"/>
      <c r="CB1348" s="121"/>
      <c r="CC1348" s="121"/>
      <c r="CD1348" s="121"/>
      <c r="CE1348" s="121"/>
      <c r="CF1348" s="121"/>
      <c r="CG1348" s="121"/>
      <c r="CH1348" s="121"/>
    </row>
    <row r="1349" spans="1:86" s="122" customFormat="1" ht="21.75" hidden="1" customHeight="1" x14ac:dyDescent="0.2">
      <c r="A1349" s="1173"/>
      <c r="B1349" s="1690"/>
      <c r="C1349" s="1273"/>
      <c r="D1349" s="1473"/>
      <c r="E1349" s="1688"/>
      <c r="F1349" s="1473"/>
      <c r="G1349" s="1688"/>
      <c r="H1349" s="153"/>
      <c r="I1349" s="153"/>
      <c r="J1349" s="153"/>
      <c r="K1349" s="153"/>
      <c r="L1349" s="153"/>
      <c r="M1349" s="153"/>
      <c r="N1349" s="153"/>
      <c r="O1349" s="153"/>
      <c r="P1349" s="153"/>
      <c r="Q1349" s="153"/>
      <c r="R1349" s="153"/>
      <c r="S1349" s="207"/>
      <c r="T1349" s="153"/>
      <c r="U1349" s="153"/>
      <c r="V1349" s="153"/>
      <c r="W1349" s="91"/>
      <c r="X1349" s="92"/>
      <c r="Y1349" s="155"/>
      <c r="Z1349" s="153"/>
      <c r="AA1349" s="153"/>
      <c r="AB1349" s="153"/>
      <c r="AC1349" s="153"/>
      <c r="AD1349" s="153"/>
      <c r="AE1349" s="153"/>
      <c r="AF1349" s="1692"/>
      <c r="AG1349" s="1268"/>
      <c r="AH1349" s="266" t="s">
        <v>35</v>
      </c>
      <c r="AI1349" s="878">
        <v>15</v>
      </c>
      <c r="AJ1349" s="878" t="s">
        <v>8</v>
      </c>
      <c r="AK1349" s="1722"/>
      <c r="AL1349" s="268"/>
      <c r="AM1349" s="174"/>
      <c r="AN1349" s="266"/>
      <c r="AO1349" s="878"/>
      <c r="AP1349" s="878"/>
      <c r="AQ1349" s="716"/>
      <c r="AR1349" s="295"/>
      <c r="AS1349" s="121"/>
      <c r="AT1349" s="121"/>
      <c r="AU1349" s="121"/>
      <c r="AV1349" s="121"/>
      <c r="AW1349" s="121"/>
      <c r="AX1349" s="121"/>
      <c r="AY1349" s="121"/>
      <c r="AZ1349" s="121"/>
      <c r="BA1349" s="121"/>
      <c r="BB1349" s="121"/>
      <c r="BC1349" s="121"/>
      <c r="BD1349" s="121"/>
      <c r="BE1349" s="121"/>
      <c r="BF1349" s="121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21"/>
      <c r="BS1349" s="121"/>
      <c r="BT1349" s="121"/>
      <c r="BU1349" s="121"/>
      <c r="BV1349" s="121"/>
      <c r="BW1349" s="121"/>
      <c r="BX1349" s="121"/>
      <c r="BY1349" s="121"/>
      <c r="BZ1349" s="121"/>
      <c r="CA1349" s="121"/>
      <c r="CB1349" s="121"/>
      <c r="CC1349" s="121"/>
      <c r="CD1349" s="121"/>
      <c r="CE1349" s="121"/>
      <c r="CF1349" s="121"/>
      <c r="CG1349" s="121"/>
      <c r="CH1349" s="121"/>
    </row>
    <row r="1350" spans="1:86" s="122" customFormat="1" ht="21.75" hidden="1" customHeight="1" x14ac:dyDescent="0.2">
      <c r="A1350" s="1603">
        <v>12</v>
      </c>
      <c r="B1350" s="1690">
        <v>2238128</v>
      </c>
      <c r="C1350" s="1343" t="s">
        <v>275</v>
      </c>
      <c r="D1350" s="1472">
        <v>0.29199999999999998</v>
      </c>
      <c r="E1350" s="1680">
        <v>1160</v>
      </c>
      <c r="F1350" s="1472">
        <v>0.29199999999999998</v>
      </c>
      <c r="G1350" s="1680">
        <v>1160</v>
      </c>
      <c r="H1350" s="153"/>
      <c r="I1350" s="153"/>
      <c r="J1350" s="153"/>
      <c r="K1350" s="153"/>
      <c r="L1350" s="153"/>
      <c r="M1350" s="153"/>
      <c r="N1350" s="153"/>
      <c r="O1350" s="153"/>
      <c r="P1350" s="153"/>
      <c r="Q1350" s="153"/>
      <c r="R1350" s="153"/>
      <c r="S1350" s="207"/>
      <c r="T1350" s="153"/>
      <c r="U1350" s="153"/>
      <c r="V1350" s="153"/>
      <c r="W1350" s="91"/>
      <c r="X1350" s="92"/>
      <c r="Y1350" s="155"/>
      <c r="Z1350" s="153"/>
      <c r="AA1350" s="153"/>
      <c r="AB1350" s="153"/>
      <c r="AC1350" s="153"/>
      <c r="AD1350" s="153"/>
      <c r="AE1350" s="153"/>
      <c r="AF1350" s="890"/>
      <c r="AG1350" s="890"/>
      <c r="AH1350" s="890"/>
      <c r="AI1350" s="890"/>
      <c r="AJ1350" s="890"/>
      <c r="AK1350" s="954"/>
      <c r="AL1350" s="1691" t="s">
        <v>441</v>
      </c>
      <c r="AM1350" s="1279" t="s">
        <v>679</v>
      </c>
      <c r="AN1350" s="1279" t="s">
        <v>506</v>
      </c>
      <c r="AO1350" s="878"/>
      <c r="AP1350" s="878" t="s">
        <v>2</v>
      </c>
      <c r="AQ1350" s="1748"/>
      <c r="AR1350" s="295"/>
      <c r="AS1350" s="121"/>
      <c r="AT1350" s="121"/>
      <c r="AU1350" s="121"/>
      <c r="AV1350" s="121"/>
      <c r="AW1350" s="121"/>
      <c r="AX1350" s="121"/>
      <c r="AY1350" s="121"/>
      <c r="AZ1350" s="121"/>
      <c r="BA1350" s="121"/>
      <c r="BB1350" s="121"/>
      <c r="BC1350" s="121"/>
      <c r="BD1350" s="121"/>
      <c r="BE1350" s="121"/>
      <c r="BF1350" s="121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21"/>
      <c r="BS1350" s="121"/>
      <c r="BT1350" s="121"/>
      <c r="BU1350" s="121"/>
      <c r="BV1350" s="121"/>
      <c r="BW1350" s="121"/>
      <c r="BX1350" s="121"/>
      <c r="BY1350" s="121"/>
      <c r="BZ1350" s="121"/>
      <c r="CA1350" s="121"/>
      <c r="CB1350" s="121"/>
      <c r="CC1350" s="121"/>
      <c r="CD1350" s="121"/>
      <c r="CE1350" s="121"/>
      <c r="CF1350" s="121"/>
      <c r="CG1350" s="121"/>
      <c r="CH1350" s="121"/>
    </row>
    <row r="1351" spans="1:86" s="122" customFormat="1" ht="21.75" hidden="1" customHeight="1" x14ac:dyDescent="0.2">
      <c r="A1351" s="1604"/>
      <c r="B1351" s="1690"/>
      <c r="C1351" s="1699"/>
      <c r="D1351" s="1543"/>
      <c r="E1351" s="1728"/>
      <c r="F1351" s="1543"/>
      <c r="G1351" s="1728"/>
      <c r="H1351" s="153"/>
      <c r="I1351" s="153"/>
      <c r="J1351" s="153"/>
      <c r="K1351" s="153"/>
      <c r="L1351" s="153"/>
      <c r="M1351" s="153"/>
      <c r="N1351" s="153"/>
      <c r="O1351" s="153"/>
      <c r="P1351" s="153"/>
      <c r="Q1351" s="153"/>
      <c r="R1351" s="153"/>
      <c r="S1351" s="207"/>
      <c r="T1351" s="153"/>
      <c r="U1351" s="153"/>
      <c r="V1351" s="153"/>
      <c r="W1351" s="91"/>
      <c r="X1351" s="92"/>
      <c r="Y1351" s="155"/>
      <c r="Z1351" s="153"/>
      <c r="AA1351" s="153"/>
      <c r="AB1351" s="153"/>
      <c r="AC1351" s="153"/>
      <c r="AD1351" s="153"/>
      <c r="AE1351" s="153"/>
      <c r="AF1351" s="890"/>
      <c r="AG1351" s="890"/>
      <c r="AH1351" s="890"/>
      <c r="AI1351" s="890"/>
      <c r="AJ1351" s="890"/>
      <c r="AK1351" s="954"/>
      <c r="AL1351" s="1330"/>
      <c r="AM1351" s="1261"/>
      <c r="AN1351" s="1268"/>
      <c r="AO1351" s="878"/>
      <c r="AP1351" s="878" t="s">
        <v>3</v>
      </c>
      <c r="AQ1351" s="1749"/>
      <c r="AR1351" s="295"/>
      <c r="AS1351" s="121"/>
      <c r="AT1351" s="121"/>
      <c r="AU1351" s="121"/>
      <c r="AV1351" s="121"/>
      <c r="AW1351" s="121"/>
      <c r="AX1351" s="121"/>
      <c r="AY1351" s="121"/>
      <c r="AZ1351" s="121"/>
      <c r="BA1351" s="121"/>
      <c r="BB1351" s="121"/>
      <c r="BC1351" s="121"/>
      <c r="BD1351" s="121"/>
      <c r="BE1351" s="121"/>
      <c r="BF1351" s="121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21"/>
      <c r="BS1351" s="121"/>
      <c r="BT1351" s="121"/>
      <c r="BU1351" s="121"/>
      <c r="BV1351" s="121"/>
      <c r="BW1351" s="121"/>
      <c r="BX1351" s="121"/>
      <c r="BY1351" s="121"/>
      <c r="BZ1351" s="121"/>
      <c r="CA1351" s="121"/>
      <c r="CB1351" s="121"/>
      <c r="CC1351" s="121"/>
      <c r="CD1351" s="121"/>
      <c r="CE1351" s="121"/>
      <c r="CF1351" s="121"/>
      <c r="CG1351" s="121"/>
      <c r="CH1351" s="121"/>
    </row>
    <row r="1352" spans="1:86" s="122" customFormat="1" ht="21.75" hidden="1" customHeight="1" x14ac:dyDescent="0.2">
      <c r="A1352" s="91"/>
      <c r="B1352" s="1690"/>
      <c r="C1352" s="1273"/>
      <c r="D1352" s="1473"/>
      <c r="E1352" s="1681"/>
      <c r="F1352" s="1473"/>
      <c r="G1352" s="1681"/>
      <c r="H1352" s="153"/>
      <c r="I1352" s="153"/>
      <c r="J1352" s="153"/>
      <c r="K1352" s="153"/>
      <c r="L1352" s="153"/>
      <c r="M1352" s="153"/>
      <c r="N1352" s="153"/>
      <c r="O1352" s="153"/>
      <c r="P1352" s="153"/>
      <c r="Q1352" s="153"/>
      <c r="R1352" s="153"/>
      <c r="S1352" s="207"/>
      <c r="T1352" s="153"/>
      <c r="U1352" s="153"/>
      <c r="V1352" s="153"/>
      <c r="W1352" s="91"/>
      <c r="X1352" s="92"/>
      <c r="Y1352" s="155"/>
      <c r="Z1352" s="153"/>
      <c r="AA1352" s="153"/>
      <c r="AB1352" s="153"/>
      <c r="AC1352" s="153"/>
      <c r="AD1352" s="153"/>
      <c r="AE1352" s="153"/>
      <c r="AF1352" s="890"/>
      <c r="AG1352" s="890"/>
      <c r="AH1352" s="890"/>
      <c r="AI1352" s="890"/>
      <c r="AJ1352" s="890"/>
      <c r="AK1352" s="954"/>
      <c r="AL1352" s="1692"/>
      <c r="AM1352" s="1268"/>
      <c r="AN1352" s="266" t="s">
        <v>35</v>
      </c>
      <c r="AO1352" s="878">
        <v>13</v>
      </c>
      <c r="AP1352" s="878" t="s">
        <v>8</v>
      </c>
      <c r="AQ1352" s="1750"/>
      <c r="AR1352" s="295"/>
      <c r="AS1352" s="121"/>
      <c r="AT1352" s="121"/>
      <c r="AU1352" s="121"/>
      <c r="AV1352" s="121"/>
      <c r="AW1352" s="121"/>
      <c r="AX1352" s="121"/>
      <c r="AY1352" s="121"/>
      <c r="AZ1352" s="121"/>
      <c r="BA1352" s="121"/>
      <c r="BB1352" s="121"/>
      <c r="BC1352" s="121"/>
      <c r="BD1352" s="121"/>
      <c r="BE1352" s="121"/>
      <c r="BF1352" s="121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21"/>
      <c r="BS1352" s="121"/>
      <c r="BT1352" s="121"/>
      <c r="BU1352" s="121"/>
      <c r="BV1352" s="121"/>
      <c r="BW1352" s="121"/>
      <c r="BX1352" s="121"/>
      <c r="BY1352" s="121"/>
      <c r="BZ1352" s="121"/>
      <c r="CA1352" s="121"/>
      <c r="CB1352" s="121"/>
      <c r="CC1352" s="121"/>
      <c r="CD1352" s="121"/>
      <c r="CE1352" s="121"/>
      <c r="CF1352" s="121"/>
      <c r="CG1352" s="121"/>
      <c r="CH1352" s="121"/>
    </row>
    <row r="1353" spans="1:86" s="122" customFormat="1" ht="21.75" hidden="1" customHeight="1" x14ac:dyDescent="0.2">
      <c r="A1353" s="1603">
        <v>10</v>
      </c>
      <c r="B1353" s="1718">
        <v>2239225</v>
      </c>
      <c r="C1353" s="1343" t="s">
        <v>276</v>
      </c>
      <c r="D1353" s="1472">
        <v>0.65</v>
      </c>
      <c r="E1353" s="1680">
        <v>2950</v>
      </c>
      <c r="F1353" s="1472">
        <v>0.65</v>
      </c>
      <c r="G1353" s="1680">
        <v>2950</v>
      </c>
      <c r="H1353" s="153"/>
      <c r="I1353" s="153"/>
      <c r="J1353" s="153"/>
      <c r="K1353" s="153"/>
      <c r="L1353" s="153"/>
      <c r="M1353" s="153"/>
      <c r="N1353" s="153"/>
      <c r="O1353" s="153"/>
      <c r="P1353" s="153"/>
      <c r="Q1353" s="153"/>
      <c r="R1353" s="153"/>
      <c r="S1353" s="207"/>
      <c r="T1353" s="153"/>
      <c r="U1353" s="153"/>
      <c r="V1353" s="153"/>
      <c r="W1353" s="91"/>
      <c r="X1353" s="92"/>
      <c r="Y1353" s="155"/>
      <c r="Z1353" s="153"/>
      <c r="AA1353" s="153"/>
      <c r="AB1353" s="153"/>
      <c r="AC1353" s="153"/>
      <c r="AD1353" s="153"/>
      <c r="AE1353" s="153"/>
      <c r="AF1353" s="883"/>
      <c r="AG1353" s="883"/>
      <c r="AH1353" s="883"/>
      <c r="AI1353" s="883"/>
      <c r="AJ1353" s="883"/>
      <c r="AK1353" s="873"/>
      <c r="AL1353" s="1691" t="s">
        <v>441</v>
      </c>
      <c r="AM1353" s="1279" t="s">
        <v>621</v>
      </c>
      <c r="AN1353" s="1279" t="s">
        <v>506</v>
      </c>
      <c r="AO1353" s="975"/>
      <c r="AP1353" s="878" t="s">
        <v>2</v>
      </c>
      <c r="AQ1353" s="1748"/>
      <c r="AR1353" s="295"/>
      <c r="AS1353" s="121"/>
      <c r="AT1353" s="121"/>
      <c r="AU1353" s="121"/>
      <c r="AV1353" s="121"/>
      <c r="AW1353" s="121"/>
      <c r="AX1353" s="121"/>
      <c r="AY1353" s="121"/>
      <c r="AZ1353" s="121"/>
      <c r="BA1353" s="121"/>
      <c r="BB1353" s="121"/>
      <c r="BC1353" s="121"/>
      <c r="BD1353" s="121"/>
      <c r="BE1353" s="121"/>
      <c r="BF1353" s="121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21"/>
      <c r="BS1353" s="121"/>
      <c r="BT1353" s="121"/>
      <c r="BU1353" s="121"/>
      <c r="BV1353" s="121"/>
      <c r="BW1353" s="121"/>
      <c r="BX1353" s="121"/>
      <c r="BY1353" s="121"/>
      <c r="BZ1353" s="121"/>
      <c r="CA1353" s="121"/>
      <c r="CB1353" s="121"/>
      <c r="CC1353" s="121"/>
      <c r="CD1353" s="121"/>
      <c r="CE1353" s="121"/>
      <c r="CF1353" s="121"/>
      <c r="CG1353" s="121"/>
      <c r="CH1353" s="121"/>
    </row>
    <row r="1354" spans="1:86" s="122" customFormat="1" ht="21.75" hidden="1" customHeight="1" x14ac:dyDescent="0.2">
      <c r="A1354" s="1604"/>
      <c r="B1354" s="1718"/>
      <c r="C1354" s="1699"/>
      <c r="D1354" s="1543"/>
      <c r="E1354" s="1728"/>
      <c r="F1354" s="1543"/>
      <c r="G1354" s="1728"/>
      <c r="H1354" s="153"/>
      <c r="I1354" s="153"/>
      <c r="J1354" s="153"/>
      <c r="K1354" s="153"/>
      <c r="L1354" s="153"/>
      <c r="M1354" s="153"/>
      <c r="N1354" s="153"/>
      <c r="O1354" s="153"/>
      <c r="P1354" s="153"/>
      <c r="Q1354" s="153"/>
      <c r="R1354" s="153"/>
      <c r="S1354" s="207"/>
      <c r="T1354" s="153"/>
      <c r="U1354" s="153"/>
      <c r="V1354" s="153"/>
      <c r="W1354" s="91"/>
      <c r="X1354" s="92"/>
      <c r="Y1354" s="155"/>
      <c r="Z1354" s="153"/>
      <c r="AA1354" s="153"/>
      <c r="AB1354" s="153"/>
      <c r="AC1354" s="153"/>
      <c r="AD1354" s="153"/>
      <c r="AE1354" s="153"/>
      <c r="AF1354" s="890"/>
      <c r="AG1354" s="890"/>
      <c r="AH1354" s="890"/>
      <c r="AI1354" s="890"/>
      <c r="AJ1354" s="890"/>
      <c r="AK1354" s="954"/>
      <c r="AL1354" s="1330"/>
      <c r="AM1354" s="1261"/>
      <c r="AN1354" s="1268"/>
      <c r="AO1354" s="878"/>
      <c r="AP1354" s="878" t="s">
        <v>3</v>
      </c>
      <c r="AQ1354" s="1749"/>
      <c r="AR1354" s="295"/>
      <c r="AS1354" s="121"/>
      <c r="AT1354" s="121"/>
      <c r="AU1354" s="121"/>
      <c r="AV1354" s="121"/>
      <c r="AW1354" s="121"/>
      <c r="AX1354" s="121"/>
      <c r="AY1354" s="121"/>
      <c r="AZ1354" s="121"/>
      <c r="BA1354" s="121"/>
      <c r="BB1354" s="121"/>
      <c r="BC1354" s="121"/>
      <c r="BD1354" s="121"/>
      <c r="BE1354" s="121"/>
      <c r="BF1354" s="121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21"/>
      <c r="BS1354" s="121"/>
      <c r="BT1354" s="121"/>
      <c r="BU1354" s="121"/>
      <c r="BV1354" s="121"/>
      <c r="BW1354" s="121"/>
      <c r="BX1354" s="121"/>
      <c r="BY1354" s="121"/>
      <c r="BZ1354" s="121"/>
      <c r="CA1354" s="121"/>
      <c r="CB1354" s="121"/>
      <c r="CC1354" s="121"/>
      <c r="CD1354" s="121"/>
      <c r="CE1354" s="121"/>
      <c r="CF1354" s="121"/>
      <c r="CG1354" s="121"/>
      <c r="CH1354" s="121"/>
    </row>
    <row r="1355" spans="1:86" s="122" customFormat="1" ht="21.75" hidden="1" customHeight="1" x14ac:dyDescent="0.2">
      <c r="A1355" s="1173"/>
      <c r="B1355" s="1718"/>
      <c r="C1355" s="1273"/>
      <c r="D1355" s="1473"/>
      <c r="E1355" s="1681"/>
      <c r="F1355" s="1473"/>
      <c r="G1355" s="1681"/>
      <c r="H1355" s="153"/>
      <c r="I1355" s="153"/>
      <c r="J1355" s="153"/>
      <c r="K1355" s="153"/>
      <c r="L1355" s="153"/>
      <c r="M1355" s="153"/>
      <c r="N1355" s="153"/>
      <c r="O1355" s="153"/>
      <c r="P1355" s="153"/>
      <c r="Q1355" s="153"/>
      <c r="R1355" s="153"/>
      <c r="S1355" s="207"/>
      <c r="T1355" s="153"/>
      <c r="U1355" s="153"/>
      <c r="V1355" s="153"/>
      <c r="W1355" s="91"/>
      <c r="X1355" s="92"/>
      <c r="Y1355" s="155"/>
      <c r="Z1355" s="153"/>
      <c r="AA1355" s="153"/>
      <c r="AB1355" s="153"/>
      <c r="AC1355" s="153"/>
      <c r="AD1355" s="153"/>
      <c r="AE1355" s="153"/>
      <c r="AF1355" s="890"/>
      <c r="AG1355" s="890"/>
      <c r="AH1355" s="890"/>
      <c r="AI1355" s="890"/>
      <c r="AJ1355" s="890"/>
      <c r="AK1355" s="954"/>
      <c r="AL1355" s="1692"/>
      <c r="AM1355" s="1268"/>
      <c r="AN1355" s="266" t="s">
        <v>35</v>
      </c>
      <c r="AO1355" s="878">
        <v>18</v>
      </c>
      <c r="AP1355" s="878" t="s">
        <v>8</v>
      </c>
      <c r="AQ1355" s="1750"/>
      <c r="AR1355" s="295"/>
      <c r="AS1355" s="121"/>
      <c r="AT1355" s="121"/>
      <c r="AU1355" s="121"/>
      <c r="AV1355" s="121"/>
      <c r="AW1355" s="121"/>
      <c r="AX1355" s="121"/>
      <c r="AY1355" s="121"/>
      <c r="AZ1355" s="121"/>
      <c r="BA1355" s="121"/>
      <c r="BB1355" s="121"/>
      <c r="BC1355" s="121"/>
      <c r="BD1355" s="121"/>
      <c r="BE1355" s="121"/>
      <c r="BF1355" s="121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21"/>
      <c r="BS1355" s="121"/>
      <c r="BT1355" s="121"/>
      <c r="BU1355" s="121"/>
      <c r="BV1355" s="121"/>
      <c r="BW1355" s="121"/>
      <c r="BX1355" s="121"/>
      <c r="BY1355" s="121"/>
      <c r="BZ1355" s="121"/>
      <c r="CA1355" s="121"/>
      <c r="CB1355" s="121"/>
      <c r="CC1355" s="121"/>
      <c r="CD1355" s="121"/>
      <c r="CE1355" s="121"/>
      <c r="CF1355" s="121"/>
      <c r="CG1355" s="121"/>
      <c r="CH1355" s="121"/>
    </row>
    <row r="1356" spans="1:86" s="122" customFormat="1" ht="21.75" customHeight="1" x14ac:dyDescent="0.2">
      <c r="A1356" s="1603">
        <v>13</v>
      </c>
      <c r="B1356" s="1708">
        <v>3404389</v>
      </c>
      <c r="C1356" s="1343" t="s">
        <v>264</v>
      </c>
      <c r="D1356" s="1472">
        <v>1.3460000000000001</v>
      </c>
      <c r="E1356" s="1687">
        <v>5400</v>
      </c>
      <c r="F1356" s="1472">
        <v>1.3460000000000001</v>
      </c>
      <c r="G1356" s="1687">
        <f>F1356*4011.887</f>
        <v>5399.9999020000005</v>
      </c>
      <c r="H1356" s="153"/>
      <c r="I1356" s="153"/>
      <c r="J1356" s="153"/>
      <c r="K1356" s="153"/>
      <c r="L1356" s="153"/>
      <c r="M1356" s="153"/>
      <c r="N1356" s="153"/>
      <c r="O1356" s="153"/>
      <c r="P1356" s="153"/>
      <c r="Q1356" s="153"/>
      <c r="R1356" s="153"/>
      <c r="S1356" s="207"/>
      <c r="T1356" s="153"/>
      <c r="U1356" s="153"/>
      <c r="V1356" s="153"/>
      <c r="W1356" s="91"/>
      <c r="X1356" s="92"/>
      <c r="Y1356" s="155"/>
      <c r="Z1356" s="153"/>
      <c r="AA1356" s="153"/>
      <c r="AB1356" s="153"/>
      <c r="AC1356" s="153"/>
      <c r="AD1356" s="153"/>
      <c r="AE1356" s="153"/>
      <c r="AF1356" s="1165"/>
      <c r="AG1356" s="1165"/>
      <c r="AH1356" s="890"/>
      <c r="AI1356" s="890"/>
      <c r="AJ1356" s="890"/>
      <c r="AK1356" s="821"/>
      <c r="AL1356" s="1691" t="s">
        <v>441</v>
      </c>
      <c r="AM1356" s="1691" t="s">
        <v>668</v>
      </c>
      <c r="AN1356" s="1279" t="s">
        <v>506</v>
      </c>
      <c r="AO1356" s="975">
        <v>1.3460000000000001</v>
      </c>
      <c r="AP1356" s="878" t="s">
        <v>2</v>
      </c>
      <c r="AQ1356" s="1748">
        <f>4090.1*2</f>
        <v>8180.2</v>
      </c>
      <c r="AR1356" s="295"/>
      <c r="AS1356" s="121"/>
      <c r="AT1356" s="121"/>
      <c r="AU1356" s="121"/>
      <c r="AV1356" s="121"/>
      <c r="AW1356" s="121"/>
      <c r="AX1356" s="121"/>
      <c r="AY1356" s="121"/>
      <c r="AZ1356" s="121"/>
      <c r="BA1356" s="121"/>
      <c r="BB1356" s="121"/>
      <c r="BC1356" s="121"/>
      <c r="BD1356" s="121"/>
      <c r="BE1356" s="121"/>
      <c r="BF1356" s="121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21"/>
      <c r="BS1356" s="121"/>
      <c r="BT1356" s="121"/>
      <c r="BU1356" s="121"/>
      <c r="BV1356" s="121"/>
      <c r="BW1356" s="121"/>
      <c r="BX1356" s="121"/>
      <c r="BY1356" s="121"/>
      <c r="BZ1356" s="121"/>
      <c r="CA1356" s="121"/>
      <c r="CB1356" s="121"/>
      <c r="CC1356" s="121"/>
      <c r="CD1356" s="121"/>
      <c r="CE1356" s="121"/>
      <c r="CF1356" s="121"/>
      <c r="CG1356" s="121"/>
      <c r="CH1356" s="121"/>
    </row>
    <row r="1357" spans="1:86" s="122" customFormat="1" ht="21.75" customHeight="1" x14ac:dyDescent="0.2">
      <c r="A1357" s="1604"/>
      <c r="B1357" s="1709"/>
      <c r="C1357" s="1699"/>
      <c r="D1357" s="1543"/>
      <c r="E1357" s="1689"/>
      <c r="F1357" s="1543"/>
      <c r="G1357" s="1689"/>
      <c r="H1357" s="153"/>
      <c r="I1357" s="153"/>
      <c r="J1357" s="153"/>
      <c r="K1357" s="153"/>
      <c r="L1357" s="153"/>
      <c r="M1357" s="153"/>
      <c r="N1357" s="153"/>
      <c r="O1357" s="153"/>
      <c r="P1357" s="153"/>
      <c r="Q1357" s="153"/>
      <c r="R1357" s="153"/>
      <c r="S1357" s="207"/>
      <c r="T1357" s="153"/>
      <c r="U1357" s="153"/>
      <c r="V1357" s="153"/>
      <c r="W1357" s="91"/>
      <c r="X1357" s="92"/>
      <c r="Y1357" s="155"/>
      <c r="Z1357" s="153"/>
      <c r="AA1357" s="153"/>
      <c r="AB1357" s="153"/>
      <c r="AC1357" s="153"/>
      <c r="AD1357" s="153"/>
      <c r="AE1357" s="153"/>
      <c r="AF1357" s="890"/>
      <c r="AG1357" s="890"/>
      <c r="AH1357" s="890"/>
      <c r="AI1357" s="890"/>
      <c r="AJ1357" s="890"/>
      <c r="AK1357" s="954"/>
      <c r="AL1357" s="1330"/>
      <c r="AM1357" s="1330"/>
      <c r="AN1357" s="1268"/>
      <c r="AO1357" s="878">
        <v>5400</v>
      </c>
      <c r="AP1357" s="878" t="s">
        <v>537</v>
      </c>
      <c r="AQ1357" s="1749"/>
      <c r="AR1357" s="295"/>
      <c r="AS1357" s="121"/>
      <c r="AT1357" s="121"/>
      <c r="AU1357" s="121"/>
      <c r="AV1357" s="121"/>
      <c r="AW1357" s="121"/>
      <c r="AX1357" s="121"/>
      <c r="AY1357" s="121"/>
      <c r="AZ1357" s="121"/>
      <c r="BA1357" s="121"/>
      <c r="BB1357" s="121"/>
      <c r="BC1357" s="121"/>
      <c r="BD1357" s="121"/>
      <c r="BE1357" s="121"/>
      <c r="BF1357" s="121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21"/>
      <c r="BS1357" s="121"/>
      <c r="BT1357" s="121"/>
      <c r="BU1357" s="121"/>
      <c r="BV1357" s="121"/>
      <c r="BW1357" s="121"/>
      <c r="BX1357" s="121"/>
      <c r="BY1357" s="121"/>
      <c r="BZ1357" s="121"/>
      <c r="CA1357" s="121"/>
      <c r="CB1357" s="121"/>
      <c r="CC1357" s="121"/>
      <c r="CD1357" s="121"/>
      <c r="CE1357" s="121"/>
      <c r="CF1357" s="121"/>
      <c r="CG1357" s="121"/>
      <c r="CH1357" s="121"/>
    </row>
    <row r="1358" spans="1:86" s="122" customFormat="1" ht="21.75" hidden="1" customHeight="1" x14ac:dyDescent="0.2">
      <c r="A1358" s="1173"/>
      <c r="B1358" s="1710"/>
      <c r="C1358" s="1273"/>
      <c r="D1358" s="1473"/>
      <c r="E1358" s="1688"/>
      <c r="F1358" s="1473"/>
      <c r="G1358" s="1688"/>
      <c r="H1358" s="153"/>
      <c r="I1358" s="153"/>
      <c r="J1358" s="153"/>
      <c r="K1358" s="153"/>
      <c r="L1358" s="153"/>
      <c r="M1358" s="153"/>
      <c r="N1358" s="153"/>
      <c r="O1358" s="153"/>
      <c r="P1358" s="153"/>
      <c r="Q1358" s="153"/>
      <c r="R1358" s="153"/>
      <c r="S1358" s="207"/>
      <c r="T1358" s="153"/>
      <c r="U1358" s="153"/>
      <c r="V1358" s="153"/>
      <c r="W1358" s="91"/>
      <c r="X1358" s="92"/>
      <c r="Y1358" s="155"/>
      <c r="Z1358" s="153"/>
      <c r="AA1358" s="153"/>
      <c r="AB1358" s="153"/>
      <c r="AC1358" s="153"/>
      <c r="AD1358" s="153"/>
      <c r="AE1358" s="153"/>
      <c r="AF1358" s="890"/>
      <c r="AG1358" s="890"/>
      <c r="AH1358" s="890"/>
      <c r="AI1358" s="890"/>
      <c r="AJ1358" s="890"/>
      <c r="AK1358" s="954"/>
      <c r="AL1358" s="1692"/>
      <c r="AM1358" s="1692"/>
      <c r="AN1358" s="266"/>
      <c r="AO1358" s="878">
        <v>3</v>
      </c>
      <c r="AP1358" s="878" t="s">
        <v>8</v>
      </c>
      <c r="AQ1358" s="1750"/>
      <c r="AR1358" s="295"/>
      <c r="AS1358" s="121"/>
      <c r="AT1358" s="121"/>
      <c r="AU1358" s="121"/>
      <c r="AV1358" s="121"/>
      <c r="AW1358" s="121"/>
      <c r="AX1358" s="121"/>
      <c r="AY1358" s="121"/>
      <c r="AZ1358" s="121"/>
      <c r="BA1358" s="121"/>
      <c r="BB1358" s="121"/>
      <c r="BC1358" s="121"/>
      <c r="BD1358" s="121"/>
      <c r="BE1358" s="121"/>
      <c r="BF1358" s="121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21"/>
      <c r="BS1358" s="121"/>
      <c r="BT1358" s="121"/>
      <c r="BU1358" s="121"/>
      <c r="BV1358" s="121"/>
      <c r="BW1358" s="121"/>
      <c r="BX1358" s="121"/>
      <c r="BY1358" s="121"/>
      <c r="BZ1358" s="121"/>
      <c r="CA1358" s="121"/>
      <c r="CB1358" s="121"/>
      <c r="CC1358" s="121"/>
      <c r="CD1358" s="121"/>
      <c r="CE1358" s="121"/>
      <c r="CF1358" s="121"/>
      <c r="CG1358" s="121"/>
      <c r="CH1358" s="121"/>
    </row>
    <row r="1359" spans="1:86" s="122" customFormat="1" ht="21.75" customHeight="1" x14ac:dyDescent="0.2">
      <c r="A1359" s="1603">
        <v>14</v>
      </c>
      <c r="B1359" s="1708">
        <v>3404401</v>
      </c>
      <c r="C1359" s="1343" t="s">
        <v>266</v>
      </c>
      <c r="D1359" s="1472">
        <v>1</v>
      </c>
      <c r="E1359" s="1687">
        <v>4500</v>
      </c>
      <c r="F1359" s="1472">
        <v>1</v>
      </c>
      <c r="G1359" s="1687">
        <v>4500</v>
      </c>
      <c r="H1359" s="153"/>
      <c r="I1359" s="153"/>
      <c r="J1359" s="153"/>
      <c r="K1359" s="153"/>
      <c r="L1359" s="153"/>
      <c r="M1359" s="153"/>
      <c r="N1359" s="153"/>
      <c r="O1359" s="153"/>
      <c r="P1359" s="153"/>
      <c r="Q1359" s="153"/>
      <c r="R1359" s="153"/>
      <c r="S1359" s="207"/>
      <c r="T1359" s="153"/>
      <c r="U1359" s="153"/>
      <c r="V1359" s="153"/>
      <c r="W1359" s="91"/>
      <c r="X1359" s="92"/>
      <c r="Y1359" s="155"/>
      <c r="Z1359" s="153"/>
      <c r="AA1359" s="153"/>
      <c r="AB1359" s="153"/>
      <c r="AC1359" s="153"/>
      <c r="AD1359" s="153"/>
      <c r="AE1359" s="153"/>
      <c r="AF1359" s="890"/>
      <c r="AG1359" s="890"/>
      <c r="AH1359" s="890"/>
      <c r="AI1359" s="890"/>
      <c r="AJ1359" s="890"/>
      <c r="AK1359" s="954"/>
      <c r="AL1359" s="1691" t="s">
        <v>441</v>
      </c>
      <c r="AM1359" s="1691" t="s">
        <v>520</v>
      </c>
      <c r="AN1359" s="1279" t="s">
        <v>506</v>
      </c>
      <c r="AO1359" s="975">
        <v>1</v>
      </c>
      <c r="AP1359" s="1139" t="s">
        <v>2</v>
      </c>
      <c r="AQ1359" s="1748">
        <f>4214.9*2</f>
        <v>8429.7999999999993</v>
      </c>
      <c r="AR1359" s="295"/>
      <c r="AS1359" s="121"/>
      <c r="AT1359" s="121"/>
      <c r="AU1359" s="121"/>
      <c r="AV1359" s="121"/>
      <c r="AW1359" s="121"/>
      <c r="AX1359" s="121"/>
      <c r="AY1359" s="121"/>
      <c r="AZ1359" s="121"/>
      <c r="BA1359" s="121"/>
      <c r="BB1359" s="121"/>
      <c r="BC1359" s="121"/>
      <c r="BD1359" s="121"/>
      <c r="BE1359" s="121"/>
      <c r="BF1359" s="121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21"/>
      <c r="BS1359" s="121"/>
      <c r="BT1359" s="121"/>
      <c r="BU1359" s="121"/>
      <c r="BV1359" s="121"/>
      <c r="BW1359" s="121"/>
      <c r="BX1359" s="121"/>
      <c r="BY1359" s="121"/>
      <c r="BZ1359" s="121"/>
      <c r="CA1359" s="121"/>
      <c r="CB1359" s="121"/>
      <c r="CC1359" s="121"/>
      <c r="CD1359" s="121"/>
      <c r="CE1359" s="121"/>
      <c r="CF1359" s="121"/>
      <c r="CG1359" s="121"/>
      <c r="CH1359" s="121"/>
    </row>
    <row r="1360" spans="1:86" s="122" customFormat="1" ht="21.75" customHeight="1" x14ac:dyDescent="0.2">
      <c r="A1360" s="1604"/>
      <c r="B1360" s="1709"/>
      <c r="C1360" s="1699"/>
      <c r="D1360" s="1543"/>
      <c r="E1360" s="1689"/>
      <c r="F1360" s="1543"/>
      <c r="G1360" s="1689"/>
      <c r="H1360" s="153"/>
      <c r="I1360" s="153"/>
      <c r="J1360" s="153"/>
      <c r="K1360" s="153"/>
      <c r="L1360" s="153"/>
      <c r="M1360" s="153"/>
      <c r="N1360" s="153"/>
      <c r="O1360" s="153"/>
      <c r="P1360" s="153"/>
      <c r="Q1360" s="153"/>
      <c r="R1360" s="153"/>
      <c r="S1360" s="207"/>
      <c r="T1360" s="153"/>
      <c r="U1360" s="153"/>
      <c r="V1360" s="153"/>
      <c r="W1360" s="91"/>
      <c r="X1360" s="92"/>
      <c r="Y1360" s="155"/>
      <c r="Z1360" s="153"/>
      <c r="AA1360" s="153"/>
      <c r="AB1360" s="153"/>
      <c r="AC1360" s="153"/>
      <c r="AD1360" s="153"/>
      <c r="AE1360" s="153"/>
      <c r="AF1360" s="890"/>
      <c r="AG1360" s="890"/>
      <c r="AH1360" s="890"/>
      <c r="AI1360" s="890"/>
      <c r="AJ1360" s="890"/>
      <c r="AK1360" s="954"/>
      <c r="AL1360" s="1330"/>
      <c r="AM1360" s="1330"/>
      <c r="AN1360" s="1268"/>
      <c r="AO1360" s="1139">
        <v>4500</v>
      </c>
      <c r="AP1360" s="1139" t="s">
        <v>3</v>
      </c>
      <c r="AQ1360" s="1749"/>
      <c r="AR1360" s="295"/>
      <c r="AS1360" s="121"/>
      <c r="AT1360" s="121"/>
      <c r="AU1360" s="121"/>
      <c r="AV1360" s="121"/>
      <c r="AW1360" s="121"/>
      <c r="AX1360" s="121"/>
      <c r="AY1360" s="121"/>
      <c r="AZ1360" s="121"/>
      <c r="BA1360" s="121"/>
      <c r="BB1360" s="121"/>
      <c r="BC1360" s="121"/>
      <c r="BD1360" s="121"/>
      <c r="BE1360" s="121"/>
      <c r="BF1360" s="121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21"/>
      <c r="BS1360" s="121"/>
      <c r="BT1360" s="121"/>
      <c r="BU1360" s="121"/>
      <c r="BV1360" s="121"/>
      <c r="BW1360" s="121"/>
      <c r="BX1360" s="121"/>
      <c r="BY1360" s="121"/>
      <c r="BZ1360" s="121"/>
      <c r="CA1360" s="121"/>
      <c r="CB1360" s="121"/>
      <c r="CC1360" s="121"/>
      <c r="CD1360" s="121"/>
      <c r="CE1360" s="121"/>
      <c r="CF1360" s="121"/>
      <c r="CG1360" s="121"/>
      <c r="CH1360" s="121"/>
    </row>
    <row r="1361" spans="1:86" s="122" customFormat="1" ht="21.75" hidden="1" customHeight="1" x14ac:dyDescent="0.2">
      <c r="A1361" s="1173"/>
      <c r="B1361" s="1710"/>
      <c r="C1361" s="1273"/>
      <c r="D1361" s="1473"/>
      <c r="E1361" s="1688"/>
      <c r="F1361" s="1473"/>
      <c r="G1361" s="1688"/>
      <c r="H1361" s="153"/>
      <c r="I1361" s="153"/>
      <c r="J1361" s="153"/>
      <c r="K1361" s="153"/>
      <c r="L1361" s="153"/>
      <c r="M1361" s="153"/>
      <c r="N1361" s="153"/>
      <c r="O1361" s="153"/>
      <c r="P1361" s="153"/>
      <c r="Q1361" s="153"/>
      <c r="R1361" s="153"/>
      <c r="S1361" s="207"/>
      <c r="T1361" s="153"/>
      <c r="U1361" s="153"/>
      <c r="V1361" s="153"/>
      <c r="W1361" s="91"/>
      <c r="X1361" s="92"/>
      <c r="Y1361" s="155"/>
      <c r="Z1361" s="153"/>
      <c r="AA1361" s="153"/>
      <c r="AB1361" s="153"/>
      <c r="AC1361" s="153"/>
      <c r="AD1361" s="153"/>
      <c r="AE1361" s="153"/>
      <c r="AF1361" s="890"/>
      <c r="AG1361" s="890"/>
      <c r="AH1361" s="890"/>
      <c r="AI1361" s="890"/>
      <c r="AJ1361" s="890"/>
      <c r="AK1361" s="954"/>
      <c r="AL1361" s="1692"/>
      <c r="AM1361" s="1692"/>
      <c r="AN1361" s="266" t="s">
        <v>35</v>
      </c>
      <c r="AO1361" s="1139">
        <v>17</v>
      </c>
      <c r="AP1361" s="1139" t="s">
        <v>8</v>
      </c>
      <c r="AQ1361" s="1750"/>
      <c r="AR1361" s="295"/>
      <c r="AS1361" s="121"/>
      <c r="AT1361" s="121"/>
      <c r="AU1361" s="121"/>
      <c r="AV1361" s="121"/>
      <c r="AW1361" s="121"/>
      <c r="AX1361" s="121"/>
      <c r="AY1361" s="121"/>
      <c r="AZ1361" s="121"/>
      <c r="BA1361" s="121"/>
      <c r="BB1361" s="121"/>
      <c r="BC1361" s="121"/>
      <c r="BD1361" s="121"/>
      <c r="BE1361" s="121"/>
      <c r="BF1361" s="121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21"/>
      <c r="BS1361" s="121"/>
      <c r="BT1361" s="121"/>
      <c r="BU1361" s="121"/>
      <c r="BV1361" s="121"/>
      <c r="BW1361" s="121"/>
      <c r="BX1361" s="121"/>
      <c r="BY1361" s="121"/>
      <c r="BZ1361" s="121"/>
      <c r="CA1361" s="121"/>
      <c r="CB1361" s="121"/>
      <c r="CC1361" s="121"/>
      <c r="CD1361" s="121"/>
      <c r="CE1361" s="121"/>
      <c r="CF1361" s="121"/>
      <c r="CG1361" s="121"/>
      <c r="CH1361" s="121"/>
    </row>
    <row r="1362" spans="1:86" s="122" customFormat="1" ht="21.75" customHeight="1" x14ac:dyDescent="0.2">
      <c r="A1362" s="1603">
        <v>15</v>
      </c>
      <c r="B1362" s="1708">
        <v>2239640</v>
      </c>
      <c r="C1362" s="1343" t="s">
        <v>622</v>
      </c>
      <c r="D1362" s="1472">
        <v>0.51500000000000001</v>
      </c>
      <c r="E1362" s="1687">
        <f>D1362*4000</f>
        <v>2060</v>
      </c>
      <c r="F1362" s="1472">
        <v>0.35399999999999998</v>
      </c>
      <c r="G1362" s="1687">
        <v>1400</v>
      </c>
      <c r="H1362" s="153"/>
      <c r="I1362" s="153"/>
      <c r="J1362" s="153"/>
      <c r="K1362" s="153"/>
      <c r="L1362" s="153"/>
      <c r="M1362" s="153"/>
      <c r="N1362" s="153"/>
      <c r="O1362" s="153"/>
      <c r="P1362" s="153"/>
      <c r="Q1362" s="153"/>
      <c r="R1362" s="153"/>
      <c r="S1362" s="207"/>
      <c r="T1362" s="153"/>
      <c r="U1362" s="153"/>
      <c r="V1362" s="153"/>
      <c r="W1362" s="91"/>
      <c r="X1362" s="92"/>
      <c r="Y1362" s="155"/>
      <c r="Z1362" s="1691" t="s">
        <v>441</v>
      </c>
      <c r="AA1362" s="1691" t="s">
        <v>610</v>
      </c>
      <c r="AB1362" s="1279" t="s">
        <v>506</v>
      </c>
      <c r="AC1362" s="975">
        <v>0.35399999999999998</v>
      </c>
      <c r="AD1362" s="878" t="s">
        <v>2</v>
      </c>
      <c r="AE1362" s="1748">
        <v>2065.9917700000001</v>
      </c>
      <c r="AF1362" s="890"/>
      <c r="AG1362" s="890"/>
      <c r="AH1362" s="890"/>
      <c r="AI1362" s="890"/>
      <c r="AJ1362" s="890"/>
      <c r="AK1362" s="954"/>
      <c r="AL1362" s="268"/>
      <c r="AM1362" s="268"/>
      <c r="AN1362" s="174"/>
      <c r="AO1362" s="975"/>
      <c r="AP1362" s="878"/>
      <c r="AQ1362" s="716"/>
      <c r="AR1362" s="295"/>
      <c r="AS1362" s="121"/>
      <c r="AT1362" s="121"/>
      <c r="AU1362" s="121"/>
      <c r="AV1362" s="121"/>
      <c r="AW1362" s="121"/>
      <c r="AX1362" s="121"/>
      <c r="AY1362" s="121"/>
      <c r="AZ1362" s="121"/>
      <c r="BA1362" s="121"/>
      <c r="BB1362" s="121"/>
      <c r="BC1362" s="121"/>
      <c r="BD1362" s="121"/>
      <c r="BE1362" s="121"/>
      <c r="BF1362" s="121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21"/>
      <c r="BS1362" s="121"/>
      <c r="BT1362" s="121"/>
      <c r="BU1362" s="121"/>
      <c r="BV1362" s="121"/>
      <c r="BW1362" s="121"/>
      <c r="BX1362" s="121"/>
      <c r="BY1362" s="121"/>
      <c r="BZ1362" s="121"/>
      <c r="CA1362" s="121"/>
      <c r="CB1362" s="121"/>
      <c r="CC1362" s="121"/>
      <c r="CD1362" s="121"/>
      <c r="CE1362" s="121"/>
      <c r="CF1362" s="121"/>
      <c r="CG1362" s="121"/>
      <c r="CH1362" s="121"/>
    </row>
    <row r="1363" spans="1:86" s="122" customFormat="1" ht="21.75" customHeight="1" x14ac:dyDescent="0.2">
      <c r="A1363" s="1604"/>
      <c r="B1363" s="1709"/>
      <c r="C1363" s="1699"/>
      <c r="D1363" s="1543"/>
      <c r="E1363" s="1689"/>
      <c r="F1363" s="1543"/>
      <c r="G1363" s="1689"/>
      <c r="H1363" s="153"/>
      <c r="I1363" s="153"/>
      <c r="J1363" s="153"/>
      <c r="K1363" s="153"/>
      <c r="L1363" s="153"/>
      <c r="M1363" s="153"/>
      <c r="N1363" s="153"/>
      <c r="O1363" s="153"/>
      <c r="P1363" s="153"/>
      <c r="Q1363" s="153"/>
      <c r="R1363" s="153"/>
      <c r="S1363" s="207"/>
      <c r="T1363" s="153"/>
      <c r="U1363" s="153"/>
      <c r="V1363" s="153"/>
      <c r="W1363" s="91"/>
      <c r="X1363" s="92"/>
      <c r="Y1363" s="155"/>
      <c r="Z1363" s="1330"/>
      <c r="AA1363" s="1330"/>
      <c r="AB1363" s="1268"/>
      <c r="AC1363" s="878">
        <v>1920</v>
      </c>
      <c r="AD1363" s="878" t="s">
        <v>3</v>
      </c>
      <c r="AE1363" s="1749"/>
      <c r="AF1363" s="890"/>
      <c r="AG1363" s="890"/>
      <c r="AH1363" s="890"/>
      <c r="AI1363" s="890"/>
      <c r="AJ1363" s="890"/>
      <c r="AK1363" s="954"/>
      <c r="AL1363" s="268"/>
      <c r="AM1363" s="268"/>
      <c r="AN1363" s="174"/>
      <c r="AO1363" s="878"/>
      <c r="AP1363" s="878"/>
      <c r="AQ1363" s="716"/>
      <c r="AR1363" s="295"/>
      <c r="AS1363" s="121"/>
      <c r="AT1363" s="121"/>
      <c r="AU1363" s="121"/>
      <c r="AV1363" s="121"/>
      <c r="AW1363" s="121"/>
      <c r="AX1363" s="121"/>
      <c r="AY1363" s="121"/>
      <c r="AZ1363" s="121"/>
      <c r="BA1363" s="121"/>
      <c r="BB1363" s="121"/>
      <c r="BC1363" s="121"/>
      <c r="BD1363" s="121"/>
      <c r="BE1363" s="121"/>
      <c r="BF1363" s="121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21"/>
      <c r="BS1363" s="121"/>
      <c r="BT1363" s="121"/>
      <c r="BU1363" s="121"/>
      <c r="BV1363" s="121"/>
      <c r="BW1363" s="121"/>
      <c r="BX1363" s="121"/>
      <c r="BY1363" s="121"/>
      <c r="BZ1363" s="121"/>
      <c r="CA1363" s="121"/>
      <c r="CB1363" s="121"/>
      <c r="CC1363" s="121"/>
      <c r="CD1363" s="121"/>
      <c r="CE1363" s="121"/>
      <c r="CF1363" s="121"/>
      <c r="CG1363" s="121"/>
      <c r="CH1363" s="121"/>
    </row>
    <row r="1364" spans="1:86" s="122" customFormat="1" ht="21.75" hidden="1" customHeight="1" x14ac:dyDescent="0.2">
      <c r="A1364" s="1173"/>
      <c r="B1364" s="1710"/>
      <c r="C1364" s="1273"/>
      <c r="D1364" s="1473"/>
      <c r="E1364" s="1688"/>
      <c r="F1364" s="1473"/>
      <c r="G1364" s="1688"/>
      <c r="H1364" s="153"/>
      <c r="I1364" s="153"/>
      <c r="J1364" s="153"/>
      <c r="K1364" s="153"/>
      <c r="L1364" s="153"/>
      <c r="M1364" s="153"/>
      <c r="N1364" s="153"/>
      <c r="O1364" s="153"/>
      <c r="P1364" s="153"/>
      <c r="Q1364" s="153"/>
      <c r="R1364" s="153"/>
      <c r="S1364" s="207"/>
      <c r="T1364" s="153"/>
      <c r="U1364" s="153"/>
      <c r="V1364" s="153"/>
      <c r="W1364" s="91"/>
      <c r="X1364" s="92"/>
      <c r="Y1364" s="155"/>
      <c r="Z1364" s="1692"/>
      <c r="AA1364" s="1692"/>
      <c r="AB1364" s="266" t="s">
        <v>35</v>
      </c>
      <c r="AC1364" s="878">
        <v>12</v>
      </c>
      <c r="AD1364" s="878" t="s">
        <v>8</v>
      </c>
      <c r="AE1364" s="1750"/>
      <c r="AF1364" s="890"/>
      <c r="AG1364" s="890"/>
      <c r="AH1364" s="890"/>
      <c r="AI1364" s="890"/>
      <c r="AJ1364" s="890"/>
      <c r="AK1364" s="954"/>
      <c r="AL1364" s="268"/>
      <c r="AM1364" s="268"/>
      <c r="AN1364" s="266"/>
      <c r="AO1364" s="878"/>
      <c r="AP1364" s="878"/>
      <c r="AQ1364" s="716"/>
      <c r="AR1364" s="295"/>
      <c r="AS1364" s="121"/>
      <c r="AT1364" s="121"/>
      <c r="AU1364" s="121"/>
      <c r="AV1364" s="121"/>
      <c r="AW1364" s="121"/>
      <c r="AX1364" s="121"/>
      <c r="AY1364" s="121"/>
      <c r="AZ1364" s="121"/>
      <c r="BA1364" s="121"/>
      <c r="BB1364" s="121"/>
      <c r="BC1364" s="121"/>
      <c r="BD1364" s="121"/>
      <c r="BE1364" s="121"/>
      <c r="BF1364" s="121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21"/>
      <c r="BS1364" s="121"/>
      <c r="BT1364" s="121"/>
      <c r="BU1364" s="121"/>
      <c r="BV1364" s="121"/>
      <c r="BW1364" s="121"/>
      <c r="BX1364" s="121"/>
      <c r="BY1364" s="121"/>
      <c r="BZ1364" s="121"/>
      <c r="CA1364" s="121"/>
      <c r="CB1364" s="121"/>
      <c r="CC1364" s="121"/>
      <c r="CD1364" s="121"/>
      <c r="CE1364" s="121"/>
      <c r="CF1364" s="121"/>
      <c r="CG1364" s="121"/>
      <c r="CH1364" s="121"/>
    </row>
    <row r="1365" spans="1:86" s="122" customFormat="1" ht="21.75" customHeight="1" x14ac:dyDescent="0.2">
      <c r="A1365" s="1603">
        <v>16</v>
      </c>
      <c r="B1365" s="1708">
        <v>2238820</v>
      </c>
      <c r="C1365" s="1343" t="s">
        <v>623</v>
      </c>
      <c r="D1365" s="1472">
        <v>0.52200000000000002</v>
      </c>
      <c r="E1365" s="1687">
        <f>D1365*4000</f>
        <v>2088</v>
      </c>
      <c r="F1365" s="1472">
        <v>0.27500000000000002</v>
      </c>
      <c r="G1365" s="1687">
        <v>1120</v>
      </c>
      <c r="H1365" s="153"/>
      <c r="I1365" s="153"/>
      <c r="J1365" s="153"/>
      <c r="K1365" s="153"/>
      <c r="L1365" s="153"/>
      <c r="M1365" s="153"/>
      <c r="N1365" s="153"/>
      <c r="O1365" s="153"/>
      <c r="P1365" s="153"/>
      <c r="Q1365" s="153"/>
      <c r="R1365" s="153"/>
      <c r="S1365" s="207"/>
      <c r="T1365" s="153"/>
      <c r="U1365" s="153"/>
      <c r="V1365" s="153"/>
      <c r="W1365" s="91"/>
      <c r="X1365" s="92"/>
      <c r="Y1365" s="155"/>
      <c r="Z1365" s="816"/>
      <c r="AA1365" s="816"/>
      <c r="AB1365" s="817"/>
      <c r="AC1365" s="814"/>
      <c r="AD1365" s="1131"/>
      <c r="AE1365" s="819"/>
      <c r="AF1365" s="1691" t="s">
        <v>441</v>
      </c>
      <c r="AG1365" s="1691" t="s">
        <v>680</v>
      </c>
      <c r="AH1365" s="1279" t="s">
        <v>506</v>
      </c>
      <c r="AI1365" s="975">
        <v>0.27500000000000002</v>
      </c>
      <c r="AJ1365" s="878" t="s">
        <v>2</v>
      </c>
      <c r="AK1365" s="1748">
        <v>1989.4</v>
      </c>
      <c r="AL1365" s="268"/>
      <c r="AM1365" s="268"/>
      <c r="AN1365" s="174"/>
      <c r="AO1365" s="975"/>
      <c r="AP1365" s="878"/>
      <c r="AQ1365" s="716"/>
      <c r="AR1365" s="295"/>
      <c r="AS1365" s="121"/>
      <c r="AT1365" s="121"/>
      <c r="AU1365" s="121"/>
      <c r="AV1365" s="121"/>
      <c r="AW1365" s="121"/>
      <c r="AX1365" s="121"/>
      <c r="AY1365" s="121"/>
      <c r="AZ1365" s="121"/>
      <c r="BA1365" s="121"/>
      <c r="BB1365" s="121"/>
      <c r="BC1365" s="121"/>
      <c r="BD1365" s="121"/>
      <c r="BE1365" s="121"/>
      <c r="BF1365" s="121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21"/>
      <c r="BS1365" s="121"/>
      <c r="BT1365" s="121"/>
      <c r="BU1365" s="121"/>
      <c r="BV1365" s="121"/>
      <c r="BW1365" s="121"/>
      <c r="BX1365" s="121"/>
      <c r="BY1365" s="121"/>
      <c r="BZ1365" s="121"/>
      <c r="CA1365" s="121"/>
      <c r="CB1365" s="121"/>
      <c r="CC1365" s="121"/>
      <c r="CD1365" s="121"/>
      <c r="CE1365" s="121"/>
      <c r="CF1365" s="121"/>
      <c r="CG1365" s="121"/>
      <c r="CH1365" s="121"/>
    </row>
    <row r="1366" spans="1:86" s="122" customFormat="1" ht="21.75" customHeight="1" x14ac:dyDescent="0.2">
      <c r="A1366" s="1604"/>
      <c r="B1366" s="1709"/>
      <c r="C1366" s="1699"/>
      <c r="D1366" s="1543"/>
      <c r="E1366" s="1689"/>
      <c r="F1366" s="1543"/>
      <c r="G1366" s="1689"/>
      <c r="H1366" s="153"/>
      <c r="I1366" s="153"/>
      <c r="J1366" s="153"/>
      <c r="K1366" s="153"/>
      <c r="L1366" s="153"/>
      <c r="M1366" s="153"/>
      <c r="N1366" s="153"/>
      <c r="O1366" s="153"/>
      <c r="P1366" s="153"/>
      <c r="Q1366" s="153"/>
      <c r="R1366" s="153"/>
      <c r="S1366" s="207"/>
      <c r="T1366" s="153"/>
      <c r="U1366" s="153"/>
      <c r="V1366" s="153"/>
      <c r="W1366" s="91"/>
      <c r="X1366" s="92"/>
      <c r="Y1366" s="155"/>
      <c r="Z1366" s="816"/>
      <c r="AA1366" s="816"/>
      <c r="AB1366" s="817"/>
      <c r="AC1366" s="1131"/>
      <c r="AD1366" s="1131"/>
      <c r="AE1366" s="819"/>
      <c r="AF1366" s="1330"/>
      <c r="AG1366" s="1330"/>
      <c r="AH1366" s="1268"/>
      <c r="AI1366" s="878">
        <v>1120</v>
      </c>
      <c r="AJ1366" s="878" t="s">
        <v>3</v>
      </c>
      <c r="AK1366" s="1749"/>
      <c r="AL1366" s="268"/>
      <c r="AM1366" s="268"/>
      <c r="AN1366" s="174"/>
      <c r="AO1366" s="878"/>
      <c r="AP1366" s="878"/>
      <c r="AQ1366" s="716"/>
      <c r="AR1366" s="295"/>
      <c r="AS1366" s="121"/>
      <c r="AT1366" s="121"/>
      <c r="AU1366" s="121"/>
      <c r="AV1366" s="121"/>
      <c r="AW1366" s="121"/>
      <c r="AX1366" s="121"/>
      <c r="AY1366" s="121"/>
      <c r="AZ1366" s="121"/>
      <c r="BA1366" s="121"/>
      <c r="BB1366" s="121"/>
      <c r="BC1366" s="121"/>
      <c r="BD1366" s="121"/>
      <c r="BE1366" s="121"/>
      <c r="BF1366" s="121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21"/>
      <c r="BS1366" s="121"/>
      <c r="BT1366" s="121"/>
      <c r="BU1366" s="121"/>
      <c r="BV1366" s="121"/>
      <c r="BW1366" s="121"/>
      <c r="BX1366" s="121"/>
      <c r="BY1366" s="121"/>
      <c r="BZ1366" s="121"/>
      <c r="CA1366" s="121"/>
      <c r="CB1366" s="121"/>
      <c r="CC1366" s="121"/>
      <c r="CD1366" s="121"/>
      <c r="CE1366" s="121"/>
      <c r="CF1366" s="121"/>
      <c r="CG1366" s="121"/>
      <c r="CH1366" s="121"/>
    </row>
    <row r="1367" spans="1:86" s="122" customFormat="1" ht="21.75" hidden="1" customHeight="1" x14ac:dyDescent="0.2">
      <c r="A1367" s="1173"/>
      <c r="B1367" s="1710"/>
      <c r="C1367" s="1273"/>
      <c r="D1367" s="1473"/>
      <c r="E1367" s="1688"/>
      <c r="F1367" s="1473"/>
      <c r="G1367" s="1688"/>
      <c r="H1367" s="153"/>
      <c r="I1367" s="153"/>
      <c r="J1367" s="153"/>
      <c r="K1367" s="153"/>
      <c r="L1367" s="153"/>
      <c r="M1367" s="153"/>
      <c r="N1367" s="153"/>
      <c r="O1367" s="153"/>
      <c r="P1367" s="153"/>
      <c r="Q1367" s="153"/>
      <c r="R1367" s="153"/>
      <c r="S1367" s="207"/>
      <c r="T1367" s="153"/>
      <c r="U1367" s="153"/>
      <c r="V1367" s="153"/>
      <c r="W1367" s="91"/>
      <c r="X1367" s="92"/>
      <c r="Y1367" s="155"/>
      <c r="Z1367" s="816"/>
      <c r="AA1367" s="816"/>
      <c r="AB1367" s="815"/>
      <c r="AC1367" s="1131"/>
      <c r="AD1367" s="1131"/>
      <c r="AE1367" s="819"/>
      <c r="AF1367" s="1692"/>
      <c r="AG1367" s="1692"/>
      <c r="AH1367" s="266" t="s">
        <v>35</v>
      </c>
      <c r="AI1367" s="878">
        <v>6</v>
      </c>
      <c r="AJ1367" s="878" t="s">
        <v>8</v>
      </c>
      <c r="AK1367" s="1750"/>
      <c r="AL1367" s="268"/>
      <c r="AM1367" s="268"/>
      <c r="AN1367" s="266"/>
      <c r="AO1367" s="878"/>
      <c r="AP1367" s="878"/>
      <c r="AQ1367" s="716"/>
      <c r="AR1367" s="295"/>
      <c r="AS1367" s="121"/>
      <c r="AT1367" s="121"/>
      <c r="AU1367" s="121"/>
      <c r="AV1367" s="121"/>
      <c r="AW1367" s="121"/>
      <c r="AX1367" s="121"/>
      <c r="AY1367" s="121"/>
      <c r="AZ1367" s="121"/>
      <c r="BA1367" s="121"/>
      <c r="BB1367" s="121"/>
      <c r="BC1367" s="121"/>
      <c r="BD1367" s="121"/>
      <c r="BE1367" s="121"/>
      <c r="BF1367" s="121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21"/>
      <c r="BS1367" s="121"/>
      <c r="BT1367" s="121"/>
      <c r="BU1367" s="121"/>
      <c r="BV1367" s="121"/>
      <c r="BW1367" s="121"/>
      <c r="BX1367" s="121"/>
      <c r="BY1367" s="121"/>
      <c r="BZ1367" s="121"/>
      <c r="CA1367" s="121"/>
      <c r="CB1367" s="121"/>
      <c r="CC1367" s="121"/>
      <c r="CD1367" s="121"/>
      <c r="CE1367" s="121"/>
      <c r="CF1367" s="121"/>
      <c r="CG1367" s="121"/>
      <c r="CH1367" s="121"/>
    </row>
    <row r="1368" spans="1:86" s="122" customFormat="1" ht="21.75" customHeight="1" x14ac:dyDescent="0.2">
      <c r="A1368" s="1603">
        <v>17</v>
      </c>
      <c r="B1368" s="1708">
        <v>3404370</v>
      </c>
      <c r="C1368" s="1343" t="s">
        <v>624</v>
      </c>
      <c r="D1368" s="1472">
        <v>3.8</v>
      </c>
      <c r="E1368" s="1687">
        <f>D1368*4000</f>
        <v>15200</v>
      </c>
      <c r="F1368" s="1472">
        <v>0.92</v>
      </c>
      <c r="G1368" s="1687">
        <f>720+1560+1400</f>
        <v>3680</v>
      </c>
      <c r="H1368" s="153"/>
      <c r="I1368" s="153"/>
      <c r="J1368" s="153"/>
      <c r="K1368" s="153"/>
      <c r="L1368" s="153"/>
      <c r="M1368" s="153"/>
      <c r="N1368" s="153"/>
      <c r="O1368" s="153"/>
      <c r="P1368" s="153"/>
      <c r="Q1368" s="153"/>
      <c r="R1368" s="153"/>
      <c r="S1368" s="207"/>
      <c r="T1368" s="153"/>
      <c r="U1368" s="153"/>
      <c r="V1368" s="153"/>
      <c r="W1368" s="91"/>
      <c r="X1368" s="92"/>
      <c r="Y1368" s="155"/>
      <c r="Z1368" s="92"/>
      <c r="AA1368" s="92"/>
      <c r="AB1368" s="92"/>
      <c r="AC1368" s="92"/>
      <c r="AD1368" s="92"/>
      <c r="AE1368" s="92"/>
      <c r="AF1368" s="1691" t="s">
        <v>441</v>
      </c>
      <c r="AG1368" s="1691" t="s">
        <v>625</v>
      </c>
      <c r="AH1368" s="1279" t="s">
        <v>506</v>
      </c>
      <c r="AI1368" s="975">
        <v>0.92</v>
      </c>
      <c r="AJ1368" s="878" t="s">
        <v>2</v>
      </c>
      <c r="AK1368" s="1720">
        <f>1278.9+2770.9+2486.7</f>
        <v>6536.5</v>
      </c>
      <c r="AL1368" s="268"/>
      <c r="AM1368" s="268"/>
      <c r="AN1368" s="174"/>
      <c r="AO1368" s="975"/>
      <c r="AP1368" s="878"/>
      <c r="AQ1368" s="716"/>
      <c r="AR1368" s="295"/>
      <c r="AS1368" s="121"/>
      <c r="AT1368" s="121"/>
      <c r="AU1368" s="121"/>
      <c r="AV1368" s="121"/>
      <c r="AW1368" s="121"/>
      <c r="AX1368" s="121"/>
      <c r="AY1368" s="121"/>
      <c r="AZ1368" s="121"/>
      <c r="BA1368" s="121"/>
      <c r="BB1368" s="121"/>
      <c r="BC1368" s="121"/>
      <c r="BD1368" s="121"/>
      <c r="BE1368" s="121"/>
      <c r="BF1368" s="121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21"/>
      <c r="BS1368" s="121"/>
      <c r="BT1368" s="121"/>
      <c r="BU1368" s="121"/>
      <c r="BV1368" s="121"/>
      <c r="BW1368" s="121"/>
      <c r="BX1368" s="121"/>
      <c r="BY1368" s="121"/>
      <c r="BZ1368" s="121"/>
      <c r="CA1368" s="121"/>
      <c r="CB1368" s="121"/>
      <c r="CC1368" s="121"/>
      <c r="CD1368" s="121"/>
      <c r="CE1368" s="121"/>
      <c r="CF1368" s="121"/>
      <c r="CG1368" s="121"/>
      <c r="CH1368" s="121"/>
    </row>
    <row r="1369" spans="1:86" s="122" customFormat="1" ht="21.75" customHeight="1" x14ac:dyDescent="0.2">
      <c r="A1369" s="1604"/>
      <c r="B1369" s="1709"/>
      <c r="C1369" s="1699"/>
      <c r="D1369" s="1543"/>
      <c r="E1369" s="1689"/>
      <c r="F1369" s="1543"/>
      <c r="G1369" s="1689"/>
      <c r="H1369" s="153"/>
      <c r="I1369" s="153"/>
      <c r="J1369" s="153"/>
      <c r="K1369" s="153"/>
      <c r="L1369" s="153"/>
      <c r="M1369" s="153"/>
      <c r="N1369" s="153"/>
      <c r="O1369" s="153"/>
      <c r="P1369" s="153"/>
      <c r="Q1369" s="153"/>
      <c r="R1369" s="153"/>
      <c r="S1369" s="207"/>
      <c r="T1369" s="153"/>
      <c r="U1369" s="153"/>
      <c r="V1369" s="153"/>
      <c r="W1369" s="91"/>
      <c r="X1369" s="92"/>
      <c r="Y1369" s="155"/>
      <c r="Z1369" s="153"/>
      <c r="AA1369" s="153"/>
      <c r="AB1369" s="153"/>
      <c r="AC1369" s="153"/>
      <c r="AD1369" s="153"/>
      <c r="AE1369" s="153"/>
      <c r="AF1369" s="1330"/>
      <c r="AG1369" s="1330"/>
      <c r="AH1369" s="1268"/>
      <c r="AI1369" s="878">
        <v>3680</v>
      </c>
      <c r="AJ1369" s="878" t="s">
        <v>3</v>
      </c>
      <c r="AK1369" s="1721"/>
      <c r="AL1369" s="268"/>
      <c r="AM1369" s="268"/>
      <c r="AN1369" s="174"/>
      <c r="AO1369" s="878"/>
      <c r="AP1369" s="878"/>
      <c r="AQ1369" s="716"/>
      <c r="AR1369" s="295"/>
      <c r="AS1369" s="121"/>
      <c r="AT1369" s="121"/>
      <c r="AU1369" s="121"/>
      <c r="AV1369" s="121"/>
      <c r="AW1369" s="121"/>
      <c r="AX1369" s="121"/>
      <c r="AY1369" s="121"/>
      <c r="AZ1369" s="121"/>
      <c r="BA1369" s="121"/>
      <c r="BB1369" s="121"/>
      <c r="BC1369" s="121"/>
      <c r="BD1369" s="121"/>
      <c r="BE1369" s="121"/>
      <c r="BF1369" s="121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21"/>
      <c r="BS1369" s="121"/>
      <c r="BT1369" s="121"/>
      <c r="BU1369" s="121"/>
      <c r="BV1369" s="121"/>
      <c r="BW1369" s="121"/>
      <c r="BX1369" s="121"/>
      <c r="BY1369" s="121"/>
      <c r="BZ1369" s="121"/>
      <c r="CA1369" s="121"/>
      <c r="CB1369" s="121"/>
      <c r="CC1369" s="121"/>
      <c r="CD1369" s="121"/>
      <c r="CE1369" s="121"/>
      <c r="CF1369" s="121"/>
      <c r="CG1369" s="121"/>
      <c r="CH1369" s="121"/>
    </row>
    <row r="1370" spans="1:86" s="122" customFormat="1" ht="21.75" hidden="1" customHeight="1" x14ac:dyDescent="0.2">
      <c r="A1370" s="1173"/>
      <c r="B1370" s="1710"/>
      <c r="C1370" s="1273"/>
      <c r="D1370" s="1473"/>
      <c r="E1370" s="1688"/>
      <c r="F1370" s="1473"/>
      <c r="G1370" s="1688"/>
      <c r="H1370" s="153"/>
      <c r="I1370" s="153"/>
      <c r="J1370" s="153"/>
      <c r="K1370" s="153"/>
      <c r="L1370" s="153"/>
      <c r="M1370" s="153"/>
      <c r="N1370" s="153"/>
      <c r="O1370" s="153"/>
      <c r="P1370" s="153"/>
      <c r="Q1370" s="153"/>
      <c r="R1370" s="153"/>
      <c r="S1370" s="207"/>
      <c r="T1370" s="153"/>
      <c r="U1370" s="153"/>
      <c r="V1370" s="153"/>
      <c r="W1370" s="91"/>
      <c r="X1370" s="92"/>
      <c r="Y1370" s="155"/>
      <c r="Z1370" s="153"/>
      <c r="AA1370" s="153"/>
      <c r="AB1370" s="153"/>
      <c r="AC1370" s="153"/>
      <c r="AD1370" s="153"/>
      <c r="AE1370" s="153"/>
      <c r="AF1370" s="1692"/>
      <c r="AG1370" s="1692"/>
      <c r="AH1370" s="266" t="s">
        <v>35</v>
      </c>
      <c r="AI1370" s="878">
        <v>6</v>
      </c>
      <c r="AJ1370" s="878" t="s">
        <v>8</v>
      </c>
      <c r="AK1370" s="1722"/>
      <c r="AL1370" s="268"/>
      <c r="AM1370" s="268"/>
      <c r="AN1370" s="266"/>
      <c r="AO1370" s="878"/>
      <c r="AP1370" s="878"/>
      <c r="AQ1370" s="716"/>
      <c r="AR1370" s="295"/>
      <c r="AS1370" s="121"/>
      <c r="AT1370" s="121"/>
      <c r="AU1370" s="121"/>
      <c r="AV1370" s="121"/>
      <c r="AW1370" s="121"/>
      <c r="AX1370" s="121"/>
      <c r="AY1370" s="121"/>
      <c r="AZ1370" s="121"/>
      <c r="BA1370" s="121"/>
      <c r="BB1370" s="121"/>
      <c r="BC1370" s="121"/>
      <c r="BD1370" s="121"/>
      <c r="BE1370" s="121"/>
      <c r="BF1370" s="121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21"/>
      <c r="BS1370" s="121"/>
      <c r="BT1370" s="121"/>
      <c r="BU1370" s="121"/>
      <c r="BV1370" s="121"/>
      <c r="BW1370" s="121"/>
      <c r="BX1370" s="121"/>
      <c r="BY1370" s="121"/>
      <c r="BZ1370" s="121"/>
      <c r="CA1370" s="121"/>
      <c r="CB1370" s="121"/>
      <c r="CC1370" s="121"/>
      <c r="CD1370" s="121"/>
      <c r="CE1370" s="121"/>
      <c r="CF1370" s="121"/>
      <c r="CG1370" s="121"/>
      <c r="CH1370" s="121"/>
    </row>
    <row r="1371" spans="1:86" s="122" customFormat="1" ht="21.75" customHeight="1" x14ac:dyDescent="0.2">
      <c r="A1371" s="1603">
        <v>18</v>
      </c>
      <c r="B1371" s="1350">
        <v>3404408</v>
      </c>
      <c r="C1371" s="1343" t="s">
        <v>259</v>
      </c>
      <c r="D1371" s="1472">
        <v>1.98</v>
      </c>
      <c r="E1371" s="1470">
        <v>8723</v>
      </c>
      <c r="F1371" s="1472">
        <v>1.98</v>
      </c>
      <c r="G1371" s="1470">
        <v>8723</v>
      </c>
      <c r="H1371" s="153"/>
      <c r="I1371" s="153"/>
      <c r="J1371" s="153"/>
      <c r="K1371" s="153"/>
      <c r="L1371" s="153"/>
      <c r="M1371" s="153"/>
      <c r="N1371" s="153"/>
      <c r="O1371" s="153"/>
      <c r="P1371" s="153"/>
      <c r="Q1371" s="153"/>
      <c r="R1371" s="153"/>
      <c r="S1371" s="207"/>
      <c r="T1371" s="153"/>
      <c r="U1371" s="153"/>
      <c r="V1371" s="153"/>
      <c r="W1371" s="91"/>
      <c r="X1371" s="92"/>
      <c r="Y1371" s="155"/>
      <c r="Z1371" s="153"/>
      <c r="AA1371" s="153"/>
      <c r="AB1371" s="153"/>
      <c r="AC1371" s="153"/>
      <c r="AD1371" s="153"/>
      <c r="AE1371" s="153"/>
      <c r="AF1371" s="92"/>
      <c r="AG1371" s="92"/>
      <c r="AH1371" s="92"/>
      <c r="AI1371" s="92"/>
      <c r="AJ1371" s="92"/>
      <c r="AK1371" s="88"/>
      <c r="AL1371" s="1691" t="s">
        <v>441</v>
      </c>
      <c r="AM1371" s="1691" t="s">
        <v>542</v>
      </c>
      <c r="AN1371" s="1279" t="s">
        <v>506</v>
      </c>
      <c r="AO1371" s="1106">
        <v>1.98</v>
      </c>
      <c r="AP1371" s="911" t="s">
        <v>2</v>
      </c>
      <c r="AQ1371" s="1748">
        <f>3345.4*2</f>
        <v>6690.8</v>
      </c>
      <c r="AR1371" s="295"/>
      <c r="AS1371" s="121"/>
      <c r="AT1371" s="121"/>
      <c r="AU1371" s="121"/>
      <c r="AV1371" s="121"/>
      <c r="AW1371" s="121"/>
      <c r="AX1371" s="121"/>
      <c r="AY1371" s="121"/>
      <c r="AZ1371" s="121"/>
      <c r="BA1371" s="121"/>
      <c r="BB1371" s="121"/>
      <c r="BC1371" s="121"/>
      <c r="BD1371" s="121"/>
      <c r="BE1371" s="121"/>
      <c r="BF1371" s="121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21"/>
      <c r="BS1371" s="121"/>
      <c r="BT1371" s="121"/>
      <c r="BU1371" s="121"/>
      <c r="BV1371" s="121"/>
      <c r="BW1371" s="121"/>
      <c r="BX1371" s="121"/>
      <c r="BY1371" s="121"/>
      <c r="BZ1371" s="121"/>
      <c r="CA1371" s="121"/>
      <c r="CB1371" s="121"/>
      <c r="CC1371" s="121"/>
      <c r="CD1371" s="121"/>
      <c r="CE1371" s="121"/>
      <c r="CF1371" s="121"/>
      <c r="CG1371" s="121"/>
      <c r="CH1371" s="121"/>
    </row>
    <row r="1372" spans="1:86" s="122" customFormat="1" ht="21.75" customHeight="1" x14ac:dyDescent="0.2">
      <c r="A1372" s="1604"/>
      <c r="B1372" s="1351"/>
      <c r="C1372" s="1699"/>
      <c r="D1372" s="1543"/>
      <c r="E1372" s="1557"/>
      <c r="F1372" s="1543"/>
      <c r="G1372" s="1557"/>
      <c r="H1372" s="153"/>
      <c r="I1372" s="153"/>
      <c r="J1372" s="153"/>
      <c r="K1372" s="153"/>
      <c r="L1372" s="153"/>
      <c r="M1372" s="153"/>
      <c r="N1372" s="153"/>
      <c r="O1372" s="153"/>
      <c r="P1372" s="153"/>
      <c r="Q1372" s="153"/>
      <c r="R1372" s="153"/>
      <c r="S1372" s="207"/>
      <c r="T1372" s="153"/>
      <c r="U1372" s="153"/>
      <c r="V1372" s="153"/>
      <c r="W1372" s="91"/>
      <c r="X1372" s="92"/>
      <c r="Y1372" s="155"/>
      <c r="Z1372" s="153"/>
      <c r="AA1372" s="153"/>
      <c r="AB1372" s="153"/>
      <c r="AC1372" s="153"/>
      <c r="AD1372" s="153"/>
      <c r="AE1372" s="153"/>
      <c r="AF1372" s="153"/>
      <c r="AG1372" s="153"/>
      <c r="AH1372" s="153"/>
      <c r="AI1372" s="153"/>
      <c r="AJ1372" s="153"/>
      <c r="AK1372" s="89"/>
      <c r="AL1372" s="1330"/>
      <c r="AM1372" s="1330"/>
      <c r="AN1372" s="1268"/>
      <c r="AO1372" s="1019">
        <v>8723</v>
      </c>
      <c r="AP1372" s="911" t="s">
        <v>537</v>
      </c>
      <c r="AQ1372" s="1749"/>
      <c r="AR1372" s="295"/>
      <c r="AS1372" s="121"/>
      <c r="AT1372" s="121"/>
      <c r="AU1372" s="121"/>
      <c r="AV1372" s="121"/>
      <c r="AW1372" s="121"/>
      <c r="AX1372" s="121"/>
      <c r="AY1372" s="121"/>
      <c r="AZ1372" s="121"/>
      <c r="BA1372" s="121"/>
      <c r="BB1372" s="121"/>
      <c r="BC1372" s="121"/>
      <c r="BD1372" s="121"/>
      <c r="BE1372" s="121"/>
      <c r="BF1372" s="121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21"/>
      <c r="BS1372" s="121"/>
      <c r="BT1372" s="121"/>
      <c r="BU1372" s="121"/>
      <c r="BV1372" s="121"/>
      <c r="BW1372" s="121"/>
      <c r="BX1372" s="121"/>
      <c r="BY1372" s="121"/>
      <c r="BZ1372" s="121"/>
      <c r="CA1372" s="121"/>
      <c r="CB1372" s="121"/>
      <c r="CC1372" s="121"/>
      <c r="CD1372" s="121"/>
      <c r="CE1372" s="121"/>
      <c r="CF1372" s="121"/>
      <c r="CG1372" s="121"/>
      <c r="CH1372" s="121"/>
    </row>
    <row r="1373" spans="1:86" s="122" customFormat="1" ht="21.75" hidden="1" customHeight="1" x14ac:dyDescent="0.2">
      <c r="A1373" s="1173"/>
      <c r="B1373" s="1297"/>
      <c r="C1373" s="1273"/>
      <c r="D1373" s="1473"/>
      <c r="E1373" s="1471"/>
      <c r="F1373" s="1473"/>
      <c r="G1373" s="1471"/>
      <c r="H1373" s="153"/>
      <c r="I1373" s="153"/>
      <c r="J1373" s="153"/>
      <c r="K1373" s="153"/>
      <c r="L1373" s="153"/>
      <c r="M1373" s="153"/>
      <c r="N1373" s="153"/>
      <c r="O1373" s="153"/>
      <c r="P1373" s="153"/>
      <c r="Q1373" s="153"/>
      <c r="R1373" s="153"/>
      <c r="S1373" s="207"/>
      <c r="T1373" s="153"/>
      <c r="U1373" s="153"/>
      <c r="V1373" s="153"/>
      <c r="W1373" s="91"/>
      <c r="X1373" s="92"/>
      <c r="Y1373" s="155"/>
      <c r="Z1373" s="153"/>
      <c r="AA1373" s="153"/>
      <c r="AB1373" s="153"/>
      <c r="AC1373" s="153"/>
      <c r="AD1373" s="153"/>
      <c r="AE1373" s="153"/>
      <c r="AF1373" s="153"/>
      <c r="AG1373" s="153"/>
      <c r="AH1373" s="153"/>
      <c r="AI1373" s="153"/>
      <c r="AJ1373" s="153"/>
      <c r="AK1373" s="89"/>
      <c r="AL1373" s="1692"/>
      <c r="AM1373" s="1692"/>
      <c r="AN1373" s="266" t="s">
        <v>35</v>
      </c>
      <c r="AO1373" s="911">
        <v>12</v>
      </c>
      <c r="AP1373" s="911" t="s">
        <v>8</v>
      </c>
      <c r="AQ1373" s="1750"/>
      <c r="AR1373" s="295"/>
      <c r="AS1373" s="121"/>
      <c r="AT1373" s="121"/>
      <c r="AU1373" s="121"/>
      <c r="AV1373" s="121"/>
      <c r="AW1373" s="121"/>
      <c r="AX1373" s="121"/>
      <c r="AY1373" s="121"/>
      <c r="AZ1373" s="121"/>
      <c r="BA1373" s="121"/>
      <c r="BB1373" s="121"/>
      <c r="BC1373" s="121"/>
      <c r="BD1373" s="121"/>
      <c r="BE1373" s="121"/>
      <c r="BF1373" s="121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21"/>
      <c r="BS1373" s="121"/>
      <c r="BT1373" s="121"/>
      <c r="BU1373" s="121"/>
      <c r="BV1373" s="121"/>
      <c r="BW1373" s="121"/>
      <c r="BX1373" s="121"/>
      <c r="BY1373" s="121"/>
      <c r="BZ1373" s="121"/>
      <c r="CA1373" s="121"/>
      <c r="CB1373" s="121"/>
      <c r="CC1373" s="121"/>
      <c r="CD1373" s="121"/>
      <c r="CE1373" s="121"/>
      <c r="CF1373" s="121"/>
      <c r="CG1373" s="121"/>
      <c r="CH1373" s="121"/>
    </row>
    <row r="1374" spans="1:86" s="122" customFormat="1" ht="31.5" customHeight="1" x14ac:dyDescent="0.2">
      <c r="A1374" s="1603">
        <v>19</v>
      </c>
      <c r="B1374" s="1350">
        <v>3404382</v>
      </c>
      <c r="C1374" s="1343" t="s">
        <v>262</v>
      </c>
      <c r="D1374" s="1472">
        <v>0.6</v>
      </c>
      <c r="E1374" s="1687">
        <v>2700</v>
      </c>
      <c r="F1374" s="1472">
        <v>0.6</v>
      </c>
      <c r="G1374" s="1687">
        <v>2700</v>
      </c>
      <c r="H1374" s="153"/>
      <c r="I1374" s="153"/>
      <c r="J1374" s="153"/>
      <c r="K1374" s="153"/>
      <c r="L1374" s="153"/>
      <c r="M1374" s="153"/>
      <c r="N1374" s="153"/>
      <c r="O1374" s="153"/>
      <c r="P1374" s="153"/>
      <c r="Q1374" s="153"/>
      <c r="R1374" s="153"/>
      <c r="S1374" s="207"/>
      <c r="T1374" s="153"/>
      <c r="U1374" s="153"/>
      <c r="V1374" s="153"/>
      <c r="W1374" s="91"/>
      <c r="X1374" s="92"/>
      <c r="Y1374" s="155"/>
      <c r="Z1374" s="153"/>
      <c r="AA1374" s="153"/>
      <c r="AB1374" s="153"/>
      <c r="AC1374" s="153"/>
      <c r="AD1374" s="153"/>
      <c r="AE1374" s="153"/>
      <c r="AF1374" s="153"/>
      <c r="AG1374" s="153"/>
      <c r="AH1374" s="153"/>
      <c r="AI1374" s="153"/>
      <c r="AJ1374" s="153"/>
      <c r="AK1374" s="89"/>
      <c r="AL1374" s="1691" t="s">
        <v>441</v>
      </c>
      <c r="AM1374" s="1691" t="s">
        <v>531</v>
      </c>
      <c r="AN1374" s="1279" t="s">
        <v>506</v>
      </c>
      <c r="AO1374" s="975">
        <v>0.6</v>
      </c>
      <c r="AP1374" s="878" t="s">
        <v>2</v>
      </c>
      <c r="AQ1374" s="1748">
        <v>5057.8</v>
      </c>
      <c r="AR1374" s="295"/>
      <c r="AS1374" s="121"/>
      <c r="AT1374" s="121"/>
      <c r="AU1374" s="121"/>
      <c r="AV1374" s="121"/>
      <c r="AW1374" s="121"/>
      <c r="AX1374" s="121"/>
      <c r="AY1374" s="121"/>
      <c r="AZ1374" s="121"/>
      <c r="BA1374" s="121"/>
      <c r="BB1374" s="121"/>
      <c r="BC1374" s="121"/>
      <c r="BD1374" s="121"/>
      <c r="BE1374" s="121"/>
      <c r="BF1374" s="121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21"/>
      <c r="BS1374" s="121"/>
      <c r="BT1374" s="121"/>
      <c r="BU1374" s="121"/>
      <c r="BV1374" s="121"/>
      <c r="BW1374" s="121"/>
      <c r="BX1374" s="121"/>
      <c r="BY1374" s="121"/>
      <c r="BZ1374" s="121"/>
      <c r="CA1374" s="121"/>
      <c r="CB1374" s="121"/>
      <c r="CC1374" s="121"/>
      <c r="CD1374" s="121"/>
      <c r="CE1374" s="121"/>
      <c r="CF1374" s="121"/>
      <c r="CG1374" s="121"/>
      <c r="CH1374" s="121"/>
    </row>
    <row r="1375" spans="1:86" s="122" customFormat="1" ht="30.75" customHeight="1" x14ac:dyDescent="0.2">
      <c r="A1375" s="1604"/>
      <c r="B1375" s="1351"/>
      <c r="C1375" s="1699"/>
      <c r="D1375" s="1543"/>
      <c r="E1375" s="1689"/>
      <c r="F1375" s="1543"/>
      <c r="G1375" s="1689"/>
      <c r="H1375" s="153"/>
      <c r="I1375" s="153"/>
      <c r="J1375" s="153"/>
      <c r="K1375" s="153"/>
      <c r="L1375" s="153"/>
      <c r="M1375" s="153"/>
      <c r="N1375" s="153"/>
      <c r="O1375" s="153"/>
      <c r="P1375" s="153"/>
      <c r="Q1375" s="153"/>
      <c r="R1375" s="153"/>
      <c r="S1375" s="207"/>
      <c r="T1375" s="153"/>
      <c r="U1375" s="153"/>
      <c r="V1375" s="153"/>
      <c r="W1375" s="91"/>
      <c r="X1375" s="92"/>
      <c r="Y1375" s="155"/>
      <c r="Z1375" s="153"/>
      <c r="AA1375" s="153"/>
      <c r="AB1375" s="153"/>
      <c r="AC1375" s="153"/>
      <c r="AD1375" s="153"/>
      <c r="AE1375" s="153"/>
      <c r="AF1375" s="153"/>
      <c r="AG1375" s="153"/>
      <c r="AH1375" s="153"/>
      <c r="AI1375" s="153"/>
      <c r="AJ1375" s="153"/>
      <c r="AK1375" s="89"/>
      <c r="AL1375" s="1330"/>
      <c r="AM1375" s="1330"/>
      <c r="AN1375" s="1268"/>
      <c r="AO1375" s="911">
        <v>2700</v>
      </c>
      <c r="AP1375" s="911" t="s">
        <v>3</v>
      </c>
      <c r="AQ1375" s="1749"/>
      <c r="AR1375" s="295"/>
      <c r="AS1375" s="121"/>
      <c r="AT1375" s="121"/>
      <c r="AU1375" s="121"/>
      <c r="AV1375" s="121"/>
      <c r="AW1375" s="121"/>
      <c r="AX1375" s="121"/>
      <c r="AY1375" s="121"/>
      <c r="AZ1375" s="121"/>
      <c r="BA1375" s="121"/>
      <c r="BB1375" s="121"/>
      <c r="BC1375" s="121"/>
      <c r="BD1375" s="121"/>
      <c r="BE1375" s="121"/>
      <c r="BF1375" s="121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21"/>
      <c r="BS1375" s="121"/>
      <c r="BT1375" s="121"/>
      <c r="BU1375" s="121"/>
      <c r="BV1375" s="121"/>
      <c r="BW1375" s="121"/>
      <c r="BX1375" s="121"/>
      <c r="BY1375" s="121"/>
      <c r="BZ1375" s="121"/>
      <c r="CA1375" s="121"/>
      <c r="CB1375" s="121"/>
      <c r="CC1375" s="121"/>
      <c r="CD1375" s="121"/>
      <c r="CE1375" s="121"/>
      <c r="CF1375" s="121"/>
      <c r="CG1375" s="121"/>
      <c r="CH1375" s="121"/>
    </row>
    <row r="1376" spans="1:86" s="122" customFormat="1" ht="21.75" hidden="1" customHeight="1" x14ac:dyDescent="0.2">
      <c r="A1376" s="1173"/>
      <c r="B1376" s="1297"/>
      <c r="C1376" s="1273"/>
      <c r="D1376" s="1473"/>
      <c r="E1376" s="1688"/>
      <c r="F1376" s="1473"/>
      <c r="G1376" s="1688"/>
      <c r="H1376" s="153"/>
      <c r="I1376" s="153"/>
      <c r="J1376" s="153"/>
      <c r="K1376" s="153"/>
      <c r="L1376" s="153"/>
      <c r="M1376" s="153"/>
      <c r="N1376" s="153"/>
      <c r="O1376" s="153"/>
      <c r="P1376" s="153"/>
      <c r="Q1376" s="153"/>
      <c r="R1376" s="153"/>
      <c r="S1376" s="207"/>
      <c r="T1376" s="153"/>
      <c r="U1376" s="153"/>
      <c r="V1376" s="153"/>
      <c r="W1376" s="91"/>
      <c r="X1376" s="92"/>
      <c r="Y1376" s="155"/>
      <c r="Z1376" s="153"/>
      <c r="AA1376" s="153"/>
      <c r="AB1376" s="153"/>
      <c r="AC1376" s="153"/>
      <c r="AD1376" s="153"/>
      <c r="AE1376" s="153"/>
      <c r="AF1376" s="153"/>
      <c r="AG1376" s="153"/>
      <c r="AH1376" s="153"/>
      <c r="AI1376" s="153"/>
      <c r="AJ1376" s="153"/>
      <c r="AK1376" s="89"/>
      <c r="AL1376" s="1692"/>
      <c r="AM1376" s="1692"/>
      <c r="AN1376" s="266" t="s">
        <v>35</v>
      </c>
      <c r="AO1376" s="878">
        <v>5</v>
      </c>
      <c r="AP1376" s="878" t="s">
        <v>8</v>
      </c>
      <c r="AQ1376" s="1750"/>
      <c r="AR1376" s="295"/>
      <c r="AS1376" s="121"/>
      <c r="AT1376" s="121"/>
      <c r="AU1376" s="121"/>
      <c r="AV1376" s="121"/>
      <c r="AW1376" s="121"/>
      <c r="AX1376" s="121"/>
      <c r="AY1376" s="121"/>
      <c r="AZ1376" s="121"/>
      <c r="BA1376" s="121"/>
      <c r="BB1376" s="121"/>
      <c r="BC1376" s="121"/>
      <c r="BD1376" s="121"/>
      <c r="BE1376" s="121"/>
      <c r="BF1376" s="121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21"/>
      <c r="BS1376" s="121"/>
      <c r="BT1376" s="121"/>
      <c r="BU1376" s="121"/>
      <c r="BV1376" s="121"/>
      <c r="BW1376" s="121"/>
      <c r="BX1376" s="121"/>
      <c r="BY1376" s="121"/>
      <c r="BZ1376" s="121"/>
      <c r="CA1376" s="121"/>
      <c r="CB1376" s="121"/>
      <c r="CC1376" s="121"/>
      <c r="CD1376" s="121"/>
      <c r="CE1376" s="121"/>
      <c r="CF1376" s="121"/>
      <c r="CG1376" s="121"/>
      <c r="CH1376" s="121"/>
    </row>
    <row r="1377" spans="1:86" s="122" customFormat="1" ht="21.75" customHeight="1" x14ac:dyDescent="0.2">
      <c r="A1377" s="1603">
        <v>20</v>
      </c>
      <c r="B1377" s="1718">
        <v>3404403</v>
      </c>
      <c r="C1377" s="1245" t="s">
        <v>263</v>
      </c>
      <c r="D1377" s="1258">
        <v>1.3</v>
      </c>
      <c r="E1377" s="1714">
        <v>5850</v>
      </c>
      <c r="F1377" s="1258">
        <v>1.3</v>
      </c>
      <c r="G1377" s="1714">
        <v>5850</v>
      </c>
      <c r="H1377" s="153"/>
      <c r="I1377" s="153"/>
      <c r="J1377" s="153"/>
      <c r="K1377" s="153"/>
      <c r="L1377" s="153"/>
      <c r="M1377" s="153"/>
      <c r="N1377" s="153"/>
      <c r="O1377" s="153"/>
      <c r="P1377" s="153"/>
      <c r="Q1377" s="153"/>
      <c r="R1377" s="153"/>
      <c r="S1377" s="207"/>
      <c r="T1377" s="153"/>
      <c r="U1377" s="153"/>
      <c r="V1377" s="153"/>
      <c r="W1377" s="91"/>
      <c r="X1377" s="92"/>
      <c r="Y1377" s="155"/>
      <c r="Z1377" s="153"/>
      <c r="AA1377" s="153"/>
      <c r="AB1377" s="153"/>
      <c r="AC1377" s="153"/>
      <c r="AD1377" s="153"/>
      <c r="AE1377" s="153"/>
      <c r="AF1377" s="1219" t="s">
        <v>441</v>
      </c>
      <c r="AG1377" s="1219" t="s">
        <v>443</v>
      </c>
      <c r="AH1377" s="1260" t="s">
        <v>506</v>
      </c>
      <c r="AI1377" s="975">
        <v>1.3</v>
      </c>
      <c r="AJ1377" s="878" t="s">
        <v>2</v>
      </c>
      <c r="AK1377" s="1724">
        <v>9236.5</v>
      </c>
      <c r="AL1377" s="268"/>
      <c r="AM1377" s="268"/>
      <c r="AN1377" s="174"/>
      <c r="AO1377" s="975"/>
      <c r="AP1377" s="878"/>
      <c r="AQ1377" s="716"/>
      <c r="AR1377" s="295"/>
      <c r="AS1377" s="121"/>
      <c r="AT1377" s="121"/>
      <c r="AU1377" s="121"/>
      <c r="AV1377" s="121"/>
      <c r="AW1377" s="121"/>
      <c r="AX1377" s="121"/>
      <c r="AY1377" s="121"/>
      <c r="AZ1377" s="121"/>
      <c r="BA1377" s="121"/>
      <c r="BB1377" s="121"/>
      <c r="BC1377" s="121"/>
      <c r="BD1377" s="121"/>
      <c r="BE1377" s="121"/>
      <c r="BF1377" s="121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21"/>
      <c r="BS1377" s="121"/>
      <c r="BT1377" s="121"/>
      <c r="BU1377" s="121"/>
      <c r="BV1377" s="121"/>
      <c r="BW1377" s="121"/>
      <c r="BX1377" s="121"/>
      <c r="BY1377" s="121"/>
      <c r="BZ1377" s="121"/>
      <c r="CA1377" s="121"/>
      <c r="CB1377" s="121"/>
      <c r="CC1377" s="121"/>
      <c r="CD1377" s="121"/>
      <c r="CE1377" s="121"/>
      <c r="CF1377" s="121"/>
      <c r="CG1377" s="121"/>
      <c r="CH1377" s="121"/>
    </row>
    <row r="1378" spans="1:86" s="122" customFormat="1" ht="21.75" customHeight="1" x14ac:dyDescent="0.2">
      <c r="A1378" s="1604"/>
      <c r="B1378" s="1718"/>
      <c r="C1378" s="1245"/>
      <c r="D1378" s="1258"/>
      <c r="E1378" s="1714"/>
      <c r="F1378" s="1258"/>
      <c r="G1378" s="1714"/>
      <c r="H1378" s="153"/>
      <c r="I1378" s="153"/>
      <c r="J1378" s="153"/>
      <c r="K1378" s="153"/>
      <c r="L1378" s="153"/>
      <c r="M1378" s="153"/>
      <c r="N1378" s="153"/>
      <c r="O1378" s="153"/>
      <c r="P1378" s="153"/>
      <c r="Q1378" s="153"/>
      <c r="R1378" s="153"/>
      <c r="S1378" s="207"/>
      <c r="T1378" s="153"/>
      <c r="U1378" s="153"/>
      <c r="V1378" s="153"/>
      <c r="W1378" s="91"/>
      <c r="X1378" s="92"/>
      <c r="Y1378" s="155"/>
      <c r="Z1378" s="153"/>
      <c r="AA1378" s="153"/>
      <c r="AB1378" s="153"/>
      <c r="AC1378" s="153"/>
      <c r="AD1378" s="153"/>
      <c r="AE1378" s="153"/>
      <c r="AF1378" s="1219"/>
      <c r="AG1378" s="1219"/>
      <c r="AH1378" s="1260"/>
      <c r="AI1378" s="878">
        <v>5850</v>
      </c>
      <c r="AJ1378" s="878" t="s">
        <v>537</v>
      </c>
      <c r="AK1378" s="1724"/>
      <c r="AL1378" s="268"/>
      <c r="AM1378" s="268"/>
      <c r="AN1378" s="174"/>
      <c r="AO1378" s="878"/>
      <c r="AP1378" s="878"/>
      <c r="AQ1378" s="716"/>
      <c r="AR1378" s="295"/>
      <c r="AS1378" s="121"/>
      <c r="AT1378" s="121"/>
      <c r="AU1378" s="121"/>
      <c r="AV1378" s="121"/>
      <c r="AW1378" s="121"/>
      <c r="AX1378" s="121"/>
      <c r="AY1378" s="121"/>
      <c r="AZ1378" s="121"/>
      <c r="BA1378" s="121"/>
      <c r="BB1378" s="121"/>
      <c r="BC1378" s="121"/>
      <c r="BD1378" s="121"/>
      <c r="BE1378" s="121"/>
      <c r="BF1378" s="121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21"/>
      <c r="BS1378" s="121"/>
      <c r="BT1378" s="121"/>
      <c r="BU1378" s="121"/>
      <c r="BV1378" s="121"/>
      <c r="BW1378" s="121"/>
      <c r="BX1378" s="121"/>
      <c r="BY1378" s="121"/>
      <c r="BZ1378" s="121"/>
      <c r="CA1378" s="121"/>
      <c r="CB1378" s="121"/>
      <c r="CC1378" s="121"/>
      <c r="CD1378" s="121"/>
      <c r="CE1378" s="121"/>
      <c r="CF1378" s="121"/>
      <c r="CG1378" s="121"/>
      <c r="CH1378" s="121"/>
    </row>
    <row r="1379" spans="1:86" s="122" customFormat="1" ht="21.75" hidden="1" customHeight="1" x14ac:dyDescent="0.2">
      <c r="A1379" s="1173"/>
      <c r="B1379" s="1718"/>
      <c r="C1379" s="1245"/>
      <c r="D1379" s="1258"/>
      <c r="E1379" s="1714"/>
      <c r="F1379" s="1258"/>
      <c r="G1379" s="1714"/>
      <c r="H1379" s="153"/>
      <c r="I1379" s="153"/>
      <c r="J1379" s="153"/>
      <c r="K1379" s="153"/>
      <c r="L1379" s="153"/>
      <c r="M1379" s="153"/>
      <c r="N1379" s="153"/>
      <c r="O1379" s="153"/>
      <c r="P1379" s="153"/>
      <c r="Q1379" s="153"/>
      <c r="R1379" s="153"/>
      <c r="S1379" s="207"/>
      <c r="T1379" s="153"/>
      <c r="U1379" s="153"/>
      <c r="V1379" s="153"/>
      <c r="W1379" s="91"/>
      <c r="X1379" s="92"/>
      <c r="Y1379" s="155"/>
      <c r="Z1379" s="153"/>
      <c r="AA1379" s="153"/>
      <c r="AB1379" s="153"/>
      <c r="AC1379" s="153"/>
      <c r="AD1379" s="153"/>
      <c r="AE1379" s="153"/>
      <c r="AF1379" s="1219"/>
      <c r="AG1379" s="1219"/>
      <c r="AH1379" s="266" t="s">
        <v>35</v>
      </c>
      <c r="AI1379" s="878">
        <v>5</v>
      </c>
      <c r="AJ1379" s="878" t="s">
        <v>8</v>
      </c>
      <c r="AK1379" s="1724"/>
      <c r="AL1379" s="268"/>
      <c r="AM1379" s="268"/>
      <c r="AN1379" s="266"/>
      <c r="AO1379" s="878"/>
      <c r="AP1379" s="878"/>
      <c r="AQ1379" s="716"/>
      <c r="AR1379" s="295"/>
      <c r="AS1379" s="121"/>
      <c r="AT1379" s="121"/>
      <c r="AU1379" s="121"/>
      <c r="AV1379" s="121"/>
      <c r="AW1379" s="121"/>
      <c r="AX1379" s="121"/>
      <c r="AY1379" s="121"/>
      <c r="AZ1379" s="121"/>
      <c r="BA1379" s="121"/>
      <c r="BB1379" s="121"/>
      <c r="BC1379" s="121"/>
      <c r="BD1379" s="121"/>
      <c r="BE1379" s="121"/>
      <c r="BF1379" s="121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21"/>
      <c r="BS1379" s="121"/>
      <c r="BT1379" s="121"/>
      <c r="BU1379" s="121"/>
      <c r="BV1379" s="121"/>
      <c r="BW1379" s="121"/>
      <c r="BX1379" s="121"/>
      <c r="BY1379" s="121"/>
      <c r="BZ1379" s="121"/>
      <c r="CA1379" s="121"/>
      <c r="CB1379" s="121"/>
      <c r="CC1379" s="121"/>
      <c r="CD1379" s="121"/>
      <c r="CE1379" s="121"/>
      <c r="CF1379" s="121"/>
      <c r="CG1379" s="121"/>
      <c r="CH1379" s="121"/>
    </row>
    <row r="1380" spans="1:86" s="122" customFormat="1" ht="27.6" hidden="1" customHeight="1" x14ac:dyDescent="0.2">
      <c r="A1380" s="1603">
        <v>18</v>
      </c>
      <c r="B1380" s="1708">
        <v>2246806</v>
      </c>
      <c r="C1380" s="1711" t="s">
        <v>274</v>
      </c>
      <c r="D1380" s="1472">
        <v>1.054</v>
      </c>
      <c r="E1380" s="1687">
        <v>4725</v>
      </c>
      <c r="F1380" s="1472">
        <v>1.054</v>
      </c>
      <c r="G1380" s="1687">
        <v>4725</v>
      </c>
      <c r="H1380" s="153"/>
      <c r="I1380" s="153"/>
      <c r="J1380" s="153"/>
      <c r="K1380" s="153"/>
      <c r="L1380" s="153"/>
      <c r="M1380" s="153"/>
      <c r="N1380" s="153"/>
      <c r="O1380" s="153"/>
      <c r="P1380" s="153"/>
      <c r="Q1380" s="153"/>
      <c r="R1380" s="153"/>
      <c r="S1380" s="207"/>
      <c r="T1380" s="153"/>
      <c r="U1380" s="153"/>
      <c r="V1380" s="153"/>
      <c r="W1380" s="91"/>
      <c r="X1380" s="92"/>
      <c r="Y1380" s="155"/>
      <c r="Z1380" s="153"/>
      <c r="AA1380" s="153"/>
      <c r="AB1380" s="153"/>
      <c r="AC1380" s="153"/>
      <c r="AD1380" s="153"/>
      <c r="AE1380" s="153"/>
      <c r="AF1380" s="92"/>
      <c r="AG1380" s="92"/>
      <c r="AH1380" s="92"/>
      <c r="AI1380" s="92"/>
      <c r="AJ1380" s="92"/>
      <c r="AK1380" s="92"/>
      <c r="AL1380" s="1691" t="s">
        <v>441</v>
      </c>
      <c r="AM1380" s="1691" t="s">
        <v>669</v>
      </c>
      <c r="AN1380" s="1279" t="s">
        <v>506</v>
      </c>
      <c r="AO1380" s="975"/>
      <c r="AP1380" s="878" t="s">
        <v>2</v>
      </c>
      <c r="AQ1380" s="2226">
        <f>AO1380*4214.9*2</f>
        <v>0</v>
      </c>
      <c r="AR1380" s="295"/>
      <c r="AS1380" s="121"/>
      <c r="AT1380" s="121"/>
      <c r="AU1380" s="121"/>
      <c r="AV1380" s="121"/>
      <c r="AW1380" s="121"/>
      <c r="AX1380" s="121"/>
      <c r="AY1380" s="121"/>
      <c r="AZ1380" s="121"/>
      <c r="BA1380" s="121"/>
      <c r="BB1380" s="121"/>
      <c r="BC1380" s="121"/>
      <c r="BD1380" s="121"/>
      <c r="BE1380" s="121"/>
      <c r="BF1380" s="121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21"/>
      <c r="BS1380" s="121"/>
      <c r="BT1380" s="121"/>
      <c r="BU1380" s="121"/>
      <c r="BV1380" s="121"/>
      <c r="BW1380" s="121"/>
      <c r="BX1380" s="121"/>
      <c r="BY1380" s="121"/>
      <c r="BZ1380" s="121"/>
      <c r="CA1380" s="121"/>
      <c r="CB1380" s="121"/>
      <c r="CC1380" s="121"/>
      <c r="CD1380" s="121"/>
      <c r="CE1380" s="121"/>
      <c r="CF1380" s="121"/>
      <c r="CG1380" s="121"/>
      <c r="CH1380" s="121"/>
    </row>
    <row r="1381" spans="1:86" s="122" customFormat="1" ht="27.6" hidden="1" customHeight="1" x14ac:dyDescent="0.2">
      <c r="A1381" s="1604"/>
      <c r="B1381" s="1709"/>
      <c r="C1381" s="1712"/>
      <c r="D1381" s="1543"/>
      <c r="E1381" s="1689"/>
      <c r="F1381" s="1543"/>
      <c r="G1381" s="1689"/>
      <c r="H1381" s="153"/>
      <c r="I1381" s="153"/>
      <c r="J1381" s="153"/>
      <c r="K1381" s="153"/>
      <c r="L1381" s="153"/>
      <c r="M1381" s="153"/>
      <c r="N1381" s="153"/>
      <c r="O1381" s="153"/>
      <c r="P1381" s="153"/>
      <c r="Q1381" s="153"/>
      <c r="R1381" s="153"/>
      <c r="S1381" s="207"/>
      <c r="T1381" s="153"/>
      <c r="U1381" s="153"/>
      <c r="V1381" s="153"/>
      <c r="W1381" s="91"/>
      <c r="X1381" s="92"/>
      <c r="Y1381" s="155"/>
      <c r="Z1381" s="153"/>
      <c r="AA1381" s="153"/>
      <c r="AB1381" s="153"/>
      <c r="AC1381" s="153"/>
      <c r="AD1381" s="153"/>
      <c r="AE1381" s="153"/>
      <c r="AF1381" s="153"/>
      <c r="AG1381" s="153"/>
      <c r="AH1381" s="153"/>
      <c r="AI1381" s="153"/>
      <c r="AJ1381" s="153"/>
      <c r="AK1381" s="153"/>
      <c r="AL1381" s="1330"/>
      <c r="AM1381" s="1330"/>
      <c r="AN1381" s="1268"/>
      <c r="AO1381" s="878"/>
      <c r="AP1381" s="878" t="s">
        <v>3</v>
      </c>
      <c r="AQ1381" s="2226"/>
      <c r="AR1381" s="295"/>
      <c r="AS1381" s="121"/>
      <c r="AT1381" s="121"/>
      <c r="AU1381" s="121"/>
      <c r="AV1381" s="121"/>
      <c r="AW1381" s="121"/>
      <c r="AX1381" s="121"/>
      <c r="AY1381" s="121"/>
      <c r="AZ1381" s="121"/>
      <c r="BA1381" s="121"/>
      <c r="BB1381" s="121"/>
      <c r="BC1381" s="121"/>
      <c r="BD1381" s="121"/>
      <c r="BE1381" s="121"/>
      <c r="BF1381" s="121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21"/>
      <c r="BS1381" s="121"/>
      <c r="BT1381" s="121"/>
      <c r="BU1381" s="121"/>
      <c r="BV1381" s="121"/>
      <c r="BW1381" s="121"/>
      <c r="BX1381" s="121"/>
      <c r="BY1381" s="121"/>
      <c r="BZ1381" s="121"/>
      <c r="CA1381" s="121"/>
      <c r="CB1381" s="121"/>
      <c r="CC1381" s="121"/>
      <c r="CD1381" s="121"/>
      <c r="CE1381" s="121"/>
      <c r="CF1381" s="121"/>
      <c r="CG1381" s="121"/>
      <c r="CH1381" s="121"/>
    </row>
    <row r="1382" spans="1:86" s="122" customFormat="1" ht="24.4" hidden="1" customHeight="1" x14ac:dyDescent="0.2">
      <c r="A1382" s="91"/>
      <c r="B1382" s="1710"/>
      <c r="C1382" s="1713"/>
      <c r="D1382" s="1473"/>
      <c r="E1382" s="1688"/>
      <c r="F1382" s="1473"/>
      <c r="G1382" s="1688"/>
      <c r="H1382" s="153"/>
      <c r="I1382" s="153"/>
      <c r="J1382" s="153"/>
      <c r="K1382" s="153"/>
      <c r="L1382" s="153"/>
      <c r="M1382" s="153"/>
      <c r="N1382" s="153"/>
      <c r="O1382" s="153"/>
      <c r="P1382" s="153"/>
      <c r="Q1382" s="153"/>
      <c r="R1382" s="153"/>
      <c r="S1382" s="207"/>
      <c r="T1382" s="153"/>
      <c r="U1382" s="153"/>
      <c r="V1382" s="153"/>
      <c r="W1382" s="91"/>
      <c r="X1382" s="92"/>
      <c r="Y1382" s="155"/>
      <c r="Z1382" s="153"/>
      <c r="AA1382" s="153"/>
      <c r="AB1382" s="153"/>
      <c r="AC1382" s="153"/>
      <c r="AD1382" s="153"/>
      <c r="AE1382" s="153"/>
      <c r="AF1382" s="153"/>
      <c r="AG1382" s="153"/>
      <c r="AH1382" s="153"/>
      <c r="AI1382" s="153"/>
      <c r="AJ1382" s="153"/>
      <c r="AK1382" s="153"/>
      <c r="AL1382" s="1692"/>
      <c r="AM1382" s="1692"/>
      <c r="AN1382" s="266" t="s">
        <v>35</v>
      </c>
      <c r="AO1382" s="878">
        <v>7</v>
      </c>
      <c r="AP1382" s="878" t="s">
        <v>8</v>
      </c>
      <c r="AQ1382" s="2226"/>
      <c r="AR1382" s="153"/>
      <c r="AS1382" s="121"/>
      <c r="AT1382" s="121"/>
      <c r="AU1382" s="121"/>
      <c r="AV1382" s="121"/>
      <c r="AW1382" s="121"/>
      <c r="AX1382" s="121"/>
      <c r="AY1382" s="121"/>
      <c r="AZ1382" s="121"/>
      <c r="BA1382" s="121"/>
      <c r="BB1382" s="121"/>
      <c r="BC1382" s="121"/>
      <c r="BD1382" s="121"/>
      <c r="BE1382" s="121"/>
      <c r="BF1382" s="121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21"/>
      <c r="BS1382" s="121"/>
      <c r="BT1382" s="121"/>
      <c r="BU1382" s="121"/>
      <c r="BV1382" s="121"/>
      <c r="BW1382" s="121"/>
      <c r="BX1382" s="121"/>
      <c r="BY1382" s="121"/>
      <c r="BZ1382" s="121"/>
      <c r="CA1382" s="121"/>
      <c r="CB1382" s="121"/>
      <c r="CC1382" s="121"/>
      <c r="CD1382" s="121"/>
      <c r="CE1382" s="121"/>
      <c r="CF1382" s="121"/>
      <c r="CG1382" s="121"/>
      <c r="CH1382" s="121"/>
    </row>
    <row r="1383" spans="1:86" s="122" customFormat="1" ht="24.4" customHeight="1" x14ac:dyDescent="0.2">
      <c r="A1383" s="1603">
        <v>21</v>
      </c>
      <c r="B1383" s="1708">
        <v>3404395</v>
      </c>
      <c r="C1383" s="1711" t="s">
        <v>1539</v>
      </c>
      <c r="D1383" s="1472">
        <v>0.37</v>
      </c>
      <c r="E1383" s="1687">
        <f>D1383*4000</f>
        <v>1480</v>
      </c>
      <c r="F1383" s="1472">
        <v>0.37</v>
      </c>
      <c r="G1383" s="1687">
        <f>F1383*4000</f>
        <v>1480</v>
      </c>
      <c r="H1383" s="153"/>
      <c r="I1383" s="153"/>
      <c r="J1383" s="153"/>
      <c r="K1383" s="153"/>
      <c r="L1383" s="153"/>
      <c r="M1383" s="153"/>
      <c r="N1383" s="153"/>
      <c r="O1383" s="153"/>
      <c r="P1383" s="153"/>
      <c r="Q1383" s="153"/>
      <c r="R1383" s="153"/>
      <c r="S1383" s="207"/>
      <c r="T1383" s="153"/>
      <c r="U1383" s="153"/>
      <c r="V1383" s="153"/>
      <c r="W1383" s="91"/>
      <c r="X1383" s="92"/>
      <c r="Y1383" s="155"/>
      <c r="Z1383" s="153"/>
      <c r="AA1383" s="153"/>
      <c r="AB1383" s="153"/>
      <c r="AC1383" s="153"/>
      <c r="AD1383" s="153"/>
      <c r="AE1383" s="153"/>
      <c r="AF1383" s="92"/>
      <c r="AG1383" s="92"/>
      <c r="AH1383" s="92"/>
      <c r="AI1383" s="92"/>
      <c r="AJ1383" s="92"/>
      <c r="AK1383" s="92"/>
      <c r="AL1383" s="1691" t="s">
        <v>441</v>
      </c>
      <c r="AM1383" s="1691" t="s">
        <v>668</v>
      </c>
      <c r="AN1383" s="1279" t="s">
        <v>506</v>
      </c>
      <c r="AO1383" s="975">
        <v>0.37</v>
      </c>
      <c r="AP1383" s="878" t="s">
        <v>2</v>
      </c>
      <c r="AQ1383" s="2226">
        <v>3025</v>
      </c>
      <c r="AR1383" s="153"/>
      <c r="AS1383" s="121"/>
      <c r="AT1383" s="121"/>
      <c r="AU1383" s="121"/>
      <c r="AV1383" s="121"/>
      <c r="AW1383" s="121"/>
      <c r="AX1383" s="121"/>
      <c r="AY1383" s="121"/>
      <c r="AZ1383" s="121"/>
      <c r="BA1383" s="121"/>
      <c r="BB1383" s="121"/>
      <c r="BC1383" s="121"/>
      <c r="BD1383" s="121"/>
      <c r="BE1383" s="121"/>
      <c r="BF1383" s="121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21"/>
      <c r="BS1383" s="121"/>
      <c r="BT1383" s="121"/>
      <c r="BU1383" s="121"/>
      <c r="BV1383" s="121"/>
      <c r="BW1383" s="121"/>
      <c r="BX1383" s="121"/>
      <c r="BY1383" s="121"/>
      <c r="BZ1383" s="121"/>
      <c r="CA1383" s="121"/>
      <c r="CB1383" s="121"/>
      <c r="CC1383" s="121"/>
      <c r="CD1383" s="121"/>
      <c r="CE1383" s="121"/>
      <c r="CF1383" s="121"/>
      <c r="CG1383" s="121"/>
      <c r="CH1383" s="121"/>
    </row>
    <row r="1384" spans="1:86" s="122" customFormat="1" ht="24.4" customHeight="1" x14ac:dyDescent="0.2">
      <c r="A1384" s="1604"/>
      <c r="B1384" s="1709"/>
      <c r="C1384" s="1712"/>
      <c r="D1384" s="1543"/>
      <c r="E1384" s="1689"/>
      <c r="F1384" s="1543"/>
      <c r="G1384" s="1689"/>
      <c r="H1384" s="153"/>
      <c r="I1384" s="153"/>
      <c r="J1384" s="153"/>
      <c r="K1384" s="153"/>
      <c r="L1384" s="153"/>
      <c r="M1384" s="153"/>
      <c r="N1384" s="153"/>
      <c r="O1384" s="153"/>
      <c r="P1384" s="153"/>
      <c r="Q1384" s="153"/>
      <c r="R1384" s="153"/>
      <c r="S1384" s="207"/>
      <c r="T1384" s="153"/>
      <c r="U1384" s="153"/>
      <c r="V1384" s="153"/>
      <c r="W1384" s="91"/>
      <c r="X1384" s="92"/>
      <c r="Y1384" s="155"/>
      <c r="Z1384" s="153"/>
      <c r="AA1384" s="153"/>
      <c r="AB1384" s="153"/>
      <c r="AC1384" s="153"/>
      <c r="AD1384" s="153"/>
      <c r="AE1384" s="153"/>
      <c r="AF1384" s="153"/>
      <c r="AG1384" s="153"/>
      <c r="AH1384" s="153"/>
      <c r="AI1384" s="153"/>
      <c r="AJ1384" s="153"/>
      <c r="AK1384" s="153"/>
      <c r="AL1384" s="1330"/>
      <c r="AM1384" s="1330"/>
      <c r="AN1384" s="1268"/>
      <c r="AO1384" s="878">
        <v>1480</v>
      </c>
      <c r="AP1384" s="878" t="s">
        <v>3</v>
      </c>
      <c r="AQ1384" s="2226"/>
      <c r="AR1384" s="153"/>
      <c r="AS1384" s="121"/>
      <c r="AT1384" s="121"/>
      <c r="AU1384" s="121"/>
      <c r="AV1384" s="121"/>
      <c r="AW1384" s="121"/>
      <c r="AX1384" s="121"/>
      <c r="AY1384" s="121"/>
      <c r="AZ1384" s="121"/>
      <c r="BA1384" s="121"/>
      <c r="BB1384" s="121"/>
      <c r="BC1384" s="121"/>
      <c r="BD1384" s="121"/>
      <c r="BE1384" s="121"/>
      <c r="BF1384" s="121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21"/>
      <c r="BS1384" s="121"/>
      <c r="BT1384" s="121"/>
      <c r="BU1384" s="121"/>
      <c r="BV1384" s="121"/>
      <c r="BW1384" s="121"/>
      <c r="BX1384" s="121"/>
      <c r="BY1384" s="121"/>
      <c r="BZ1384" s="121"/>
      <c r="CA1384" s="121"/>
      <c r="CB1384" s="121"/>
      <c r="CC1384" s="121"/>
      <c r="CD1384" s="121"/>
      <c r="CE1384" s="121"/>
      <c r="CF1384" s="121"/>
      <c r="CG1384" s="121"/>
      <c r="CH1384" s="121"/>
    </row>
    <row r="1385" spans="1:86" s="122" customFormat="1" ht="24.4" customHeight="1" x14ac:dyDescent="0.2">
      <c r="A1385" s="148"/>
      <c r="B1385" s="1169"/>
      <c r="C1385" s="140" t="s">
        <v>988</v>
      </c>
      <c r="D1385" s="975"/>
      <c r="E1385" s="1162"/>
      <c r="F1385" s="975"/>
      <c r="G1385" s="1162"/>
      <c r="H1385" s="153"/>
      <c r="I1385" s="153"/>
      <c r="J1385" s="153"/>
      <c r="K1385" s="153"/>
      <c r="L1385" s="153"/>
      <c r="M1385" s="153"/>
      <c r="N1385" s="153"/>
      <c r="O1385" s="153"/>
      <c r="P1385" s="153"/>
      <c r="Q1385" s="153"/>
      <c r="R1385" s="153"/>
      <c r="S1385" s="207"/>
      <c r="T1385" s="153"/>
      <c r="U1385" s="153"/>
      <c r="V1385" s="153"/>
      <c r="W1385" s="91"/>
      <c r="X1385" s="92"/>
      <c r="Y1385" s="155"/>
      <c r="Z1385" s="153"/>
      <c r="AA1385" s="153"/>
      <c r="AB1385" s="153"/>
      <c r="AC1385" s="153"/>
      <c r="AD1385" s="153"/>
      <c r="AE1385" s="153"/>
      <c r="AF1385" s="153"/>
      <c r="AG1385" s="153"/>
      <c r="AH1385" s="153"/>
      <c r="AI1385" s="153"/>
      <c r="AJ1385" s="153"/>
      <c r="AK1385" s="153"/>
      <c r="AL1385" s="935"/>
      <c r="AM1385" s="935"/>
      <c r="AN1385" s="1052"/>
      <c r="AO1385" s="911"/>
      <c r="AP1385" s="911"/>
      <c r="AQ1385" s="937"/>
      <c r="AR1385" s="153"/>
      <c r="AS1385" s="121"/>
      <c r="AT1385" s="121"/>
      <c r="AU1385" s="121"/>
      <c r="AV1385" s="121"/>
      <c r="AW1385" s="121"/>
      <c r="AX1385" s="121"/>
      <c r="AY1385" s="121"/>
      <c r="AZ1385" s="121"/>
      <c r="BA1385" s="121"/>
      <c r="BB1385" s="121"/>
      <c r="BC1385" s="121"/>
      <c r="BD1385" s="121"/>
      <c r="BE1385" s="121"/>
      <c r="BF1385" s="121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21"/>
      <c r="BS1385" s="121"/>
      <c r="BT1385" s="121"/>
      <c r="BU1385" s="121"/>
      <c r="BV1385" s="121"/>
      <c r="BW1385" s="121"/>
      <c r="BX1385" s="121"/>
      <c r="BY1385" s="121"/>
      <c r="BZ1385" s="121"/>
      <c r="CA1385" s="121"/>
      <c r="CB1385" s="121"/>
      <c r="CC1385" s="121"/>
      <c r="CD1385" s="121"/>
      <c r="CE1385" s="121"/>
      <c r="CF1385" s="121"/>
      <c r="CG1385" s="121"/>
      <c r="CH1385" s="121"/>
    </row>
    <row r="1386" spans="1:86" s="557" customFormat="1" ht="28.35" hidden="1" customHeight="1" x14ac:dyDescent="0.25">
      <c r="A1386" s="883"/>
      <c r="B1386" s="1715" t="s">
        <v>989</v>
      </c>
      <c r="C1386" s="1716"/>
      <c r="D1386" s="1716"/>
      <c r="E1386" s="1716"/>
      <c r="F1386" s="1716"/>
      <c r="G1386" s="1716"/>
      <c r="H1386" s="1716"/>
      <c r="I1386" s="1716"/>
      <c r="J1386" s="1716"/>
      <c r="K1386" s="1717"/>
      <c r="L1386" s="881"/>
      <c r="M1386" s="424">
        <f>M1387+M1388+M1389+M1390+M1391+M1392+M1393+M1394+M1395+M1396+M1397</f>
        <v>73041.475999999995</v>
      </c>
      <c r="N1386" s="423"/>
      <c r="O1386" s="424"/>
      <c r="P1386" s="961"/>
      <c r="Q1386" s="961"/>
      <c r="R1386" s="961"/>
      <c r="S1386" s="424">
        <f>S1387+S1388+S1389+S1390+S1391+S1392+S1393+S1394+S1395+S1396+S1397</f>
        <v>56142.799999999996</v>
      </c>
      <c r="T1386" s="308"/>
      <c r="U1386" s="961"/>
      <c r="V1386" s="961"/>
      <c r="W1386" s="961"/>
      <c r="X1386" s="961"/>
      <c r="Y1386" s="490">
        <f>Y1387+Y1388+Y1389+Y1390+Y1391+Y1392+Y1393+Y1394+Y1395+Y1396+Y1397</f>
        <v>76734.400000000009</v>
      </c>
      <c r="Z1386" s="961"/>
      <c r="AA1386" s="961"/>
      <c r="AB1386" s="961"/>
      <c r="AC1386" s="961"/>
      <c r="AD1386" s="961"/>
      <c r="AE1386" s="490">
        <f>AE1387+AE1388+AE1389+AE1390+AE1391+AE1392+AE1393+AE1394+AE1395+AE1396+AE1397</f>
        <v>94008.200000000026</v>
      </c>
      <c r="AF1386" s="961"/>
      <c r="AG1386" s="961"/>
      <c r="AH1386" s="961"/>
      <c r="AI1386" s="961"/>
      <c r="AJ1386" s="961"/>
      <c r="AK1386" s="490">
        <f>AK1387+AK1388+AK1389+AK1390+AK1391+AK1392+AK1393+AK1394+AK1395+AK1396+AK1397</f>
        <v>32944.6</v>
      </c>
      <c r="AL1386" s="961"/>
      <c r="AM1386" s="961"/>
      <c r="AN1386" s="961"/>
      <c r="AO1386" s="961"/>
      <c r="AP1386" s="220"/>
      <c r="AQ1386" s="221">
        <f>AQ1387+AQ1388+AQ1389+AQ1390+AQ1391+AQ1392+AQ1393+AQ1394+AQ1395+AQ1396+AQ1397</f>
        <v>33748.800000000003</v>
      </c>
      <c r="AR1386" s="139"/>
    </row>
    <row r="1387" spans="1:86" s="557" customFormat="1" ht="100.35" hidden="1" customHeight="1" x14ac:dyDescent="0.25">
      <c r="A1387" s="883">
        <v>1</v>
      </c>
      <c r="B1387" s="230"/>
      <c r="C1387" s="919" t="s">
        <v>1017</v>
      </c>
      <c r="D1387" s="873"/>
      <c r="E1387" s="950"/>
      <c r="F1387" s="135"/>
      <c r="G1387" s="2571"/>
      <c r="H1387" s="2572"/>
      <c r="I1387" s="947"/>
      <c r="J1387" s="151" t="s">
        <v>1004</v>
      </c>
      <c r="K1387" s="892">
        <f>50000+3983+1280</f>
        <v>55263</v>
      </c>
      <c r="L1387" s="878" t="s">
        <v>3</v>
      </c>
      <c r="M1387" s="897">
        <f>50000+2492.5+700</f>
        <v>53192.5</v>
      </c>
      <c r="N1387" s="892"/>
      <c r="O1387" s="897"/>
      <c r="P1387" s="151" t="s">
        <v>1004</v>
      </c>
      <c r="Q1387" s="222">
        <f>4700+4500+2031+3500+60353</f>
        <v>75084</v>
      </c>
      <c r="R1387" s="883" t="s">
        <v>3</v>
      </c>
      <c r="S1387" s="972">
        <f>4000+2500+6.2+2191+30017.1</f>
        <v>38714.300000000003</v>
      </c>
      <c r="T1387" s="14"/>
      <c r="U1387" s="14"/>
      <c r="V1387" s="151" t="s">
        <v>1004</v>
      </c>
      <c r="W1387" s="222">
        <f>4700+4500+3700+75843</f>
        <v>88743</v>
      </c>
      <c r="X1387" s="883" t="s">
        <v>3</v>
      </c>
      <c r="Y1387" s="159">
        <f>4000+2500+2500+49297.8</f>
        <v>58297.8</v>
      </c>
      <c r="Z1387" s="14"/>
      <c r="AA1387" s="14"/>
      <c r="AB1387" s="151" t="s">
        <v>1004</v>
      </c>
      <c r="AC1387" s="222">
        <f>4700+4500+3500+99995</f>
        <v>112695</v>
      </c>
      <c r="AD1387" s="883" t="s">
        <v>3</v>
      </c>
      <c r="AE1387" s="159">
        <f>4000+2500+2500+64922.6</f>
        <v>73922.600000000006</v>
      </c>
      <c r="AF1387" s="14"/>
      <c r="AG1387" s="14"/>
      <c r="AH1387" s="151" t="s">
        <v>1004</v>
      </c>
      <c r="AI1387" s="222">
        <f>4700+4500+2200+7680</f>
        <v>19080</v>
      </c>
      <c r="AJ1387" s="883" t="s">
        <v>3</v>
      </c>
      <c r="AK1387" s="159">
        <f>4000+2500+1800+4801.8</f>
        <v>13101.8</v>
      </c>
      <c r="AL1387" s="14"/>
      <c r="AM1387" s="14"/>
      <c r="AN1387" s="151" t="s">
        <v>1004</v>
      </c>
      <c r="AO1387" s="222">
        <f>4700+4500+2640+7680</f>
        <v>19520</v>
      </c>
      <c r="AP1387" s="883" t="s">
        <v>3</v>
      </c>
      <c r="AQ1387" s="159">
        <f>4000+2500+2100+4802.5</f>
        <v>13402.5</v>
      </c>
      <c r="AR1387" s="9"/>
    </row>
    <row r="1388" spans="1:86" s="557" customFormat="1" ht="102.2" hidden="1" customHeight="1" x14ac:dyDescent="0.25">
      <c r="A1388" s="883">
        <v>2</v>
      </c>
      <c r="B1388" s="230"/>
      <c r="C1388" s="919" t="s">
        <v>1017</v>
      </c>
      <c r="D1388" s="955"/>
      <c r="E1388" s="135"/>
      <c r="F1388" s="955"/>
      <c r="G1388" s="2573"/>
      <c r="H1388" s="2572"/>
      <c r="I1388" s="947"/>
      <c r="J1388" s="151" t="s">
        <v>1004</v>
      </c>
      <c r="K1388" s="892">
        <f>5000+300</f>
        <v>5300</v>
      </c>
      <c r="L1388" s="878" t="s">
        <v>3</v>
      </c>
      <c r="M1388" s="897">
        <f>8000+200</f>
        <v>8200</v>
      </c>
      <c r="N1388" s="892"/>
      <c r="O1388" s="897"/>
      <c r="P1388" s="151" t="s">
        <v>1004</v>
      </c>
      <c r="Q1388" s="222">
        <v>1350</v>
      </c>
      <c r="R1388" s="883" t="s">
        <v>3</v>
      </c>
      <c r="S1388" s="972">
        <v>4.0999999999999996</v>
      </c>
      <c r="T1388" s="14"/>
      <c r="U1388" s="14"/>
      <c r="V1388" s="151" t="s">
        <v>1004</v>
      </c>
      <c r="W1388" s="222"/>
      <c r="X1388" s="883" t="s">
        <v>3</v>
      </c>
      <c r="Y1388" s="159"/>
      <c r="Z1388" s="14"/>
      <c r="AA1388" s="14"/>
      <c r="AB1388" s="151" t="s">
        <v>1004</v>
      </c>
      <c r="AC1388" s="222"/>
      <c r="AD1388" s="883" t="s">
        <v>3</v>
      </c>
      <c r="AE1388" s="159"/>
      <c r="AF1388" s="14"/>
      <c r="AG1388" s="14"/>
      <c r="AH1388" s="151" t="s">
        <v>1004</v>
      </c>
      <c r="AI1388" s="222"/>
      <c r="AJ1388" s="883" t="s">
        <v>3</v>
      </c>
      <c r="AK1388" s="159"/>
      <c r="AL1388" s="14"/>
      <c r="AM1388" s="14"/>
      <c r="AN1388" s="151" t="s">
        <v>1004</v>
      </c>
      <c r="AO1388" s="222"/>
      <c r="AP1388" s="883" t="s">
        <v>3</v>
      </c>
      <c r="AQ1388" s="159"/>
      <c r="AR1388" s="9"/>
    </row>
    <row r="1389" spans="1:86" s="557" customFormat="1" ht="88.15" hidden="1" customHeight="1" x14ac:dyDescent="0.25">
      <c r="A1389" s="883">
        <v>3</v>
      </c>
      <c r="B1389" s="230"/>
      <c r="C1389" s="919" t="s">
        <v>1017</v>
      </c>
      <c r="D1389" s="955"/>
      <c r="E1389" s="135"/>
      <c r="F1389" s="955"/>
      <c r="G1389" s="2573"/>
      <c r="H1389" s="2572"/>
      <c r="I1389" s="947"/>
      <c r="J1389" s="151" t="s">
        <v>995</v>
      </c>
      <c r="K1389" s="892">
        <v>150</v>
      </c>
      <c r="L1389" s="878" t="s">
        <v>3</v>
      </c>
      <c r="M1389" s="897">
        <v>200</v>
      </c>
      <c r="N1389" s="892"/>
      <c r="O1389" s="897"/>
      <c r="P1389" s="151" t="s">
        <v>995</v>
      </c>
      <c r="Q1389" s="222">
        <f>3600+1827</f>
        <v>5427</v>
      </c>
      <c r="R1389" s="883" t="s">
        <v>3</v>
      </c>
      <c r="S1389" s="972">
        <f>11+1187.6</f>
        <v>1198.5999999999999</v>
      </c>
      <c r="T1389" s="14"/>
      <c r="U1389" s="14"/>
      <c r="V1389" s="151" t="s">
        <v>995</v>
      </c>
      <c r="W1389" s="222">
        <v>2284</v>
      </c>
      <c r="X1389" s="883" t="s">
        <v>3</v>
      </c>
      <c r="Y1389" s="159">
        <v>1484.4</v>
      </c>
      <c r="Z1389" s="14"/>
      <c r="AA1389" s="14"/>
      <c r="AB1389" s="151" t="s">
        <v>995</v>
      </c>
      <c r="AC1389" s="222">
        <v>2931</v>
      </c>
      <c r="AD1389" s="883" t="s">
        <v>3</v>
      </c>
      <c r="AE1389" s="159">
        <v>1979.3</v>
      </c>
      <c r="AF1389" s="14"/>
      <c r="AG1389" s="14"/>
      <c r="AH1389" s="151" t="s">
        <v>995</v>
      </c>
      <c r="AI1389" s="222">
        <v>922</v>
      </c>
      <c r="AJ1389" s="883" t="s">
        <v>3</v>
      </c>
      <c r="AK1389" s="159">
        <v>599.29999999999995</v>
      </c>
      <c r="AL1389" s="14"/>
      <c r="AM1389" s="14"/>
      <c r="AN1389" s="151" t="s">
        <v>995</v>
      </c>
      <c r="AO1389" s="222">
        <v>922</v>
      </c>
      <c r="AP1389" s="883" t="s">
        <v>3</v>
      </c>
      <c r="AQ1389" s="159">
        <v>599.29999999999995</v>
      </c>
      <c r="AR1389" s="9"/>
    </row>
    <row r="1390" spans="1:86" s="557" customFormat="1" ht="146.65" hidden="1" customHeight="1" x14ac:dyDescent="0.25">
      <c r="A1390" s="883">
        <v>4</v>
      </c>
      <c r="B1390" s="230"/>
      <c r="C1390" s="919" t="s">
        <v>1017</v>
      </c>
      <c r="D1390" s="955"/>
      <c r="E1390" s="135"/>
      <c r="F1390" s="955"/>
      <c r="G1390" s="2573"/>
      <c r="H1390" s="2572"/>
      <c r="I1390" s="947"/>
      <c r="J1390" s="151" t="s">
        <v>996</v>
      </c>
      <c r="K1390" s="892">
        <v>15</v>
      </c>
      <c r="L1390" s="878" t="s">
        <v>3</v>
      </c>
      <c r="M1390" s="897">
        <v>16.399999999999999</v>
      </c>
      <c r="N1390" s="892"/>
      <c r="O1390" s="897"/>
      <c r="P1390" s="151" t="s">
        <v>996</v>
      </c>
      <c r="Q1390" s="222">
        <v>10000</v>
      </c>
      <c r="R1390" s="883" t="s">
        <v>3</v>
      </c>
      <c r="S1390" s="972">
        <v>27.4</v>
      </c>
      <c r="T1390" s="14"/>
      <c r="U1390" s="14"/>
      <c r="V1390" s="151" t="s">
        <v>996</v>
      </c>
      <c r="W1390" s="222"/>
      <c r="X1390" s="883" t="s">
        <v>3</v>
      </c>
      <c r="Y1390" s="159"/>
      <c r="Z1390" s="14"/>
      <c r="AA1390" s="14"/>
      <c r="AB1390" s="151" t="s">
        <v>996</v>
      </c>
      <c r="AC1390" s="222"/>
      <c r="AD1390" s="883" t="s">
        <v>3</v>
      </c>
      <c r="AE1390" s="159"/>
      <c r="AF1390" s="14"/>
      <c r="AG1390" s="14"/>
      <c r="AH1390" s="151" t="s">
        <v>996</v>
      </c>
      <c r="AI1390" s="222"/>
      <c r="AJ1390" s="883" t="s">
        <v>3</v>
      </c>
      <c r="AK1390" s="159"/>
      <c r="AL1390" s="14"/>
      <c r="AM1390" s="14"/>
      <c r="AN1390" s="151" t="s">
        <v>996</v>
      </c>
      <c r="AO1390" s="222"/>
      <c r="AP1390" s="883" t="s">
        <v>3</v>
      </c>
      <c r="AQ1390" s="159"/>
      <c r="AR1390" s="9"/>
    </row>
    <row r="1391" spans="1:86" s="557" customFormat="1" ht="117" hidden="1" customHeight="1" x14ac:dyDescent="0.25">
      <c r="A1391" s="883">
        <v>5</v>
      </c>
      <c r="B1391" s="230"/>
      <c r="C1391" s="919" t="s">
        <v>1017</v>
      </c>
      <c r="D1391" s="955"/>
      <c r="E1391" s="135"/>
      <c r="F1391" s="955"/>
      <c r="G1391" s="2573"/>
      <c r="H1391" s="2572"/>
      <c r="I1391" s="947"/>
      <c r="J1391" s="151" t="s">
        <v>997</v>
      </c>
      <c r="K1391" s="892">
        <f>1344+52</f>
        <v>1396</v>
      </c>
      <c r="L1391" s="878" t="s">
        <v>3</v>
      </c>
      <c r="M1391" s="897">
        <f>750.9+56.52</f>
        <v>807.42</v>
      </c>
      <c r="N1391" s="892"/>
      <c r="O1391" s="897"/>
      <c r="P1391" s="151" t="s">
        <v>997</v>
      </c>
      <c r="Q1391" s="222">
        <f>8723+500+5000+6745+1200</f>
        <v>22168</v>
      </c>
      <c r="R1391" s="883" t="s">
        <v>3</v>
      </c>
      <c r="S1391" s="972">
        <f>436.2+160+1000+26+1110</f>
        <v>2732.2</v>
      </c>
      <c r="T1391" s="14"/>
      <c r="U1391" s="14"/>
      <c r="V1391" s="151" t="s">
        <v>997</v>
      </c>
      <c r="W1391" s="222">
        <f>500+5000+1400</f>
        <v>6900</v>
      </c>
      <c r="X1391" s="883" t="s">
        <v>3</v>
      </c>
      <c r="Y1391" s="159">
        <f>160+1000+1300</f>
        <v>2460</v>
      </c>
      <c r="Z1391" s="14"/>
      <c r="AA1391" s="14"/>
      <c r="AB1391" s="151" t="s">
        <v>997</v>
      </c>
      <c r="AC1391" s="222">
        <f>380+5000+1800</f>
        <v>7180</v>
      </c>
      <c r="AD1391" s="883" t="s">
        <v>3</v>
      </c>
      <c r="AE1391" s="159">
        <f>121.6+1000+1600</f>
        <v>2721.6</v>
      </c>
      <c r="AF1391" s="14"/>
      <c r="AG1391" s="14"/>
      <c r="AH1391" s="151" t="s">
        <v>997</v>
      </c>
      <c r="AI1391" s="222">
        <f>300+5000+2500</f>
        <v>7800</v>
      </c>
      <c r="AJ1391" s="883" t="s">
        <v>3</v>
      </c>
      <c r="AK1391" s="159">
        <f>96+1000+2200</f>
        <v>3296</v>
      </c>
      <c r="AL1391" s="14"/>
      <c r="AM1391" s="14"/>
      <c r="AN1391" s="151" t="s">
        <v>997</v>
      </c>
      <c r="AO1391" s="222">
        <f>200+5000+2500</f>
        <v>7700</v>
      </c>
      <c r="AP1391" s="883" t="s">
        <v>3</v>
      </c>
      <c r="AQ1391" s="159">
        <f>64+1000+2250</f>
        <v>3314</v>
      </c>
      <c r="AR1391" s="9"/>
    </row>
    <row r="1392" spans="1:86" s="557" customFormat="1" ht="100.9" hidden="1" customHeight="1" x14ac:dyDescent="0.25">
      <c r="A1392" s="883">
        <v>6</v>
      </c>
      <c r="B1392" s="230"/>
      <c r="C1392" s="919" t="s">
        <v>1017</v>
      </c>
      <c r="D1392" s="955"/>
      <c r="E1392" s="135"/>
      <c r="F1392" s="955"/>
      <c r="G1392" s="2573"/>
      <c r="H1392" s="2572"/>
      <c r="I1392" s="947"/>
      <c r="J1392" s="151" t="s">
        <v>998</v>
      </c>
      <c r="K1392" s="892">
        <f>57634+145</f>
        <v>57779</v>
      </c>
      <c r="L1392" s="878" t="s">
        <v>3</v>
      </c>
      <c r="M1392" s="897">
        <f>2619.5+161.37</f>
        <v>2780.87</v>
      </c>
      <c r="N1392" s="892"/>
      <c r="O1392" s="897"/>
      <c r="P1392" s="151" t="s">
        <v>998</v>
      </c>
      <c r="Q1392" s="222">
        <f>32625+9000</f>
        <v>41625</v>
      </c>
      <c r="R1392" s="883" t="s">
        <v>3</v>
      </c>
      <c r="S1392" s="972">
        <f>738.6+900</f>
        <v>1638.6</v>
      </c>
      <c r="T1392" s="14"/>
      <c r="U1392" s="14"/>
      <c r="V1392" s="151" t="s">
        <v>998</v>
      </c>
      <c r="W1392" s="222">
        <f>2700+9000+4500</f>
        <v>16200</v>
      </c>
      <c r="X1392" s="883" t="s">
        <v>3</v>
      </c>
      <c r="Y1392" s="159">
        <f>58.8+900+13.7</f>
        <v>972.5</v>
      </c>
      <c r="Z1392" s="14"/>
      <c r="AA1392" s="14"/>
      <c r="AB1392" s="151" t="s">
        <v>998</v>
      </c>
      <c r="AC1392" s="222">
        <f>32625+9000+4500</f>
        <v>46125</v>
      </c>
      <c r="AD1392" s="883" t="s">
        <v>3</v>
      </c>
      <c r="AE1392" s="159">
        <f>768.1+900+13.7</f>
        <v>1681.8</v>
      </c>
      <c r="AF1392" s="14"/>
      <c r="AG1392" s="14"/>
      <c r="AH1392" s="151" t="s">
        <v>998</v>
      </c>
      <c r="AI1392" s="222">
        <f>32625+9000+4500</f>
        <v>46125</v>
      </c>
      <c r="AJ1392" s="883" t="s">
        <v>3</v>
      </c>
      <c r="AK1392" s="159">
        <f>768.1+900+13.7</f>
        <v>1681.8</v>
      </c>
      <c r="AL1392" s="14"/>
      <c r="AM1392" s="14"/>
      <c r="AN1392" s="151" t="s">
        <v>998</v>
      </c>
      <c r="AO1392" s="222">
        <f>32625+9000+4500</f>
        <v>46125</v>
      </c>
      <c r="AP1392" s="883" t="s">
        <v>3</v>
      </c>
      <c r="AQ1392" s="159">
        <f>768.1+900+13.7</f>
        <v>1681.8</v>
      </c>
      <c r="AR1392" s="9"/>
    </row>
    <row r="1393" spans="1:86" s="557" customFormat="1" ht="43.7" hidden="1" customHeight="1" x14ac:dyDescent="0.25">
      <c r="A1393" s="883">
        <v>7</v>
      </c>
      <c r="B1393" s="230"/>
      <c r="C1393" s="919" t="s">
        <v>1017</v>
      </c>
      <c r="D1393" s="955"/>
      <c r="E1393" s="135"/>
      <c r="F1393" s="955"/>
      <c r="G1393" s="2573"/>
      <c r="H1393" s="2572"/>
      <c r="I1393" s="947"/>
      <c r="J1393" s="151" t="s">
        <v>999</v>
      </c>
      <c r="K1393" s="892">
        <f>32625+140800+8000</f>
        <v>181425</v>
      </c>
      <c r="L1393" s="878" t="s">
        <v>3</v>
      </c>
      <c r="M1393" s="897">
        <f>299.606+147.04+300</f>
        <v>746.64599999999996</v>
      </c>
      <c r="N1393" s="892"/>
      <c r="O1393" s="897"/>
      <c r="P1393" s="151" t="s">
        <v>999</v>
      </c>
      <c r="Q1393" s="222">
        <f>15000+150000</f>
        <v>165000</v>
      </c>
      <c r="R1393" s="883" t="s">
        <v>3</v>
      </c>
      <c r="S1393" s="972">
        <f>1600+200</f>
        <v>1800</v>
      </c>
      <c r="T1393" s="14"/>
      <c r="U1393" s="14"/>
      <c r="V1393" s="151" t="s">
        <v>999</v>
      </c>
      <c r="W1393" s="222">
        <f>15000+6300+150000</f>
        <v>171300</v>
      </c>
      <c r="X1393" s="883" t="s">
        <v>3</v>
      </c>
      <c r="Y1393" s="159">
        <f>1600+19.1+220</f>
        <v>1839.1</v>
      </c>
      <c r="Z1393" s="14"/>
      <c r="AA1393" s="14"/>
      <c r="AB1393" s="151" t="s">
        <v>999</v>
      </c>
      <c r="AC1393" s="222">
        <f>15000+6300+150000</f>
        <v>171300</v>
      </c>
      <c r="AD1393" s="883" t="s">
        <v>3</v>
      </c>
      <c r="AE1393" s="159">
        <f>1600+19.1+250</f>
        <v>1869.1</v>
      </c>
      <c r="AF1393" s="14"/>
      <c r="AG1393" s="14"/>
      <c r="AH1393" s="151" t="s">
        <v>999</v>
      </c>
      <c r="AI1393" s="222">
        <f>15000+6300+150000</f>
        <v>171300</v>
      </c>
      <c r="AJ1393" s="883" t="s">
        <v>3</v>
      </c>
      <c r="AK1393" s="159">
        <f>1600+19.1+270</f>
        <v>1889.1</v>
      </c>
      <c r="AL1393" s="14"/>
      <c r="AM1393" s="14"/>
      <c r="AN1393" s="151" t="s">
        <v>999</v>
      </c>
      <c r="AO1393" s="222">
        <f>15000+6300+150000</f>
        <v>171300</v>
      </c>
      <c r="AP1393" s="883" t="s">
        <v>3</v>
      </c>
      <c r="AQ1393" s="159">
        <f>1600+19.1+275</f>
        <v>1894.1</v>
      </c>
      <c r="AR1393" s="9"/>
    </row>
    <row r="1394" spans="1:86" s="557" customFormat="1" ht="54.6" hidden="1" customHeight="1" x14ac:dyDescent="0.25">
      <c r="A1394" s="883">
        <v>8</v>
      </c>
      <c r="B1394" s="230"/>
      <c r="C1394" s="919" t="s">
        <v>1017</v>
      </c>
      <c r="D1394" s="955"/>
      <c r="E1394" s="135"/>
      <c r="F1394" s="955"/>
      <c r="G1394" s="2573"/>
      <c r="H1394" s="2572"/>
      <c r="I1394" s="947"/>
      <c r="J1394" s="151" t="s">
        <v>1000</v>
      </c>
      <c r="K1394" s="892">
        <v>2000</v>
      </c>
      <c r="L1394" s="878" t="s">
        <v>3</v>
      </c>
      <c r="M1394" s="897">
        <v>70</v>
      </c>
      <c r="N1394" s="892"/>
      <c r="O1394" s="897"/>
      <c r="P1394" s="151" t="s">
        <v>1000</v>
      </c>
      <c r="Q1394" s="222"/>
      <c r="R1394" s="883" t="s">
        <v>3</v>
      </c>
      <c r="S1394" s="972"/>
      <c r="T1394" s="14"/>
      <c r="U1394" s="14"/>
      <c r="V1394" s="151" t="s">
        <v>1000</v>
      </c>
      <c r="W1394" s="222">
        <v>18000</v>
      </c>
      <c r="X1394" s="883" t="s">
        <v>3</v>
      </c>
      <c r="Y1394" s="159">
        <v>54.8</v>
      </c>
      <c r="Z1394" s="14"/>
      <c r="AA1394" s="14"/>
      <c r="AB1394" s="151" t="s">
        <v>1000</v>
      </c>
      <c r="AC1394" s="222">
        <v>18000</v>
      </c>
      <c r="AD1394" s="883" t="s">
        <v>3</v>
      </c>
      <c r="AE1394" s="159">
        <v>54.8</v>
      </c>
      <c r="AF1394" s="14"/>
      <c r="AG1394" s="14"/>
      <c r="AH1394" s="151" t="s">
        <v>1000</v>
      </c>
      <c r="AI1394" s="222">
        <v>18000</v>
      </c>
      <c r="AJ1394" s="883" t="s">
        <v>3</v>
      </c>
      <c r="AK1394" s="159">
        <v>54.8</v>
      </c>
      <c r="AL1394" s="14"/>
      <c r="AM1394" s="14"/>
      <c r="AN1394" s="151" t="s">
        <v>1000</v>
      </c>
      <c r="AO1394" s="222">
        <v>18000</v>
      </c>
      <c r="AP1394" s="883" t="s">
        <v>3</v>
      </c>
      <c r="AQ1394" s="159">
        <v>54.8</v>
      </c>
      <c r="AR1394" s="9"/>
    </row>
    <row r="1395" spans="1:86" s="557" customFormat="1" ht="58.15" hidden="1" customHeight="1" x14ac:dyDescent="0.25">
      <c r="A1395" s="883">
        <v>9</v>
      </c>
      <c r="B1395" s="230"/>
      <c r="C1395" s="919" t="s">
        <v>1017</v>
      </c>
      <c r="D1395" s="955"/>
      <c r="E1395" s="135"/>
      <c r="F1395" s="955"/>
      <c r="G1395" s="2573"/>
      <c r="H1395" s="2572"/>
      <c r="I1395" s="947"/>
      <c r="J1395" s="151" t="s">
        <v>1001</v>
      </c>
      <c r="K1395" s="892">
        <v>1600</v>
      </c>
      <c r="L1395" s="878" t="s">
        <v>3</v>
      </c>
      <c r="M1395" s="897">
        <v>50</v>
      </c>
      <c r="N1395" s="892"/>
      <c r="O1395" s="897"/>
      <c r="P1395" s="151" t="s">
        <v>1001</v>
      </c>
      <c r="Q1395" s="222">
        <f>8000+7415</f>
        <v>15415</v>
      </c>
      <c r="R1395" s="883" t="s">
        <v>3</v>
      </c>
      <c r="S1395" s="972">
        <f>3500+6000</f>
        <v>9500</v>
      </c>
      <c r="T1395" s="14"/>
      <c r="U1395" s="14"/>
      <c r="V1395" s="151" t="s">
        <v>1001</v>
      </c>
      <c r="W1395" s="222">
        <f>8000+6930+8300</f>
        <v>23230</v>
      </c>
      <c r="X1395" s="883" t="s">
        <v>3</v>
      </c>
      <c r="Y1395" s="159">
        <f>3500+15+7500</f>
        <v>11015</v>
      </c>
      <c r="Z1395" s="14"/>
      <c r="AA1395" s="14"/>
      <c r="AB1395" s="151" t="s">
        <v>1001</v>
      </c>
      <c r="AC1395" s="222">
        <f>8000+6930+8300</f>
        <v>23230</v>
      </c>
      <c r="AD1395" s="883" t="s">
        <v>3</v>
      </c>
      <c r="AE1395" s="159">
        <f>3500+15+7500</f>
        <v>11015</v>
      </c>
      <c r="AF1395" s="14"/>
      <c r="AG1395" s="14"/>
      <c r="AH1395" s="151" t="s">
        <v>1001</v>
      </c>
      <c r="AI1395" s="222">
        <f>8000+6930+9200</f>
        <v>24130</v>
      </c>
      <c r="AJ1395" s="883" t="s">
        <v>3</v>
      </c>
      <c r="AK1395" s="159">
        <f>3500+15+8700</f>
        <v>12215</v>
      </c>
      <c r="AL1395" s="14"/>
      <c r="AM1395" s="14"/>
      <c r="AN1395" s="151" t="s">
        <v>1001</v>
      </c>
      <c r="AO1395" s="222">
        <f>8000+6930+9800</f>
        <v>24730</v>
      </c>
      <c r="AP1395" s="883" t="s">
        <v>3</v>
      </c>
      <c r="AQ1395" s="159">
        <f>3500+15+9200</f>
        <v>12715</v>
      </c>
      <c r="AR1395" s="9"/>
    </row>
    <row r="1396" spans="1:86" s="557" customFormat="1" ht="67.5" hidden="1" customHeight="1" x14ac:dyDescent="0.25">
      <c r="A1396" s="883">
        <v>10</v>
      </c>
      <c r="B1396" s="230"/>
      <c r="C1396" s="919" t="s">
        <v>1017</v>
      </c>
      <c r="D1396" s="955"/>
      <c r="E1396" s="135"/>
      <c r="F1396" s="955"/>
      <c r="G1396" s="2573"/>
      <c r="H1396" s="2572"/>
      <c r="I1396" s="947"/>
      <c r="J1396" s="151" t="s">
        <v>1002</v>
      </c>
      <c r="K1396" s="892">
        <v>2800</v>
      </c>
      <c r="L1396" s="878" t="s">
        <v>3</v>
      </c>
      <c r="M1396" s="897">
        <v>80</v>
      </c>
      <c r="N1396" s="892"/>
      <c r="O1396" s="897"/>
      <c r="P1396" s="151" t="s">
        <v>1002</v>
      </c>
      <c r="Q1396" s="222">
        <v>75</v>
      </c>
      <c r="R1396" s="883" t="s">
        <v>3</v>
      </c>
      <c r="S1396" s="972">
        <v>60</v>
      </c>
      <c r="T1396" s="14"/>
      <c r="U1396" s="14"/>
      <c r="V1396" s="151" t="s">
        <v>1002</v>
      </c>
      <c r="W1396" s="222">
        <v>75</v>
      </c>
      <c r="X1396" s="883" t="s">
        <v>3</v>
      </c>
      <c r="Y1396" s="159">
        <v>60</v>
      </c>
      <c r="Z1396" s="14"/>
      <c r="AA1396" s="14"/>
      <c r="AB1396" s="151" t="s">
        <v>1002</v>
      </c>
      <c r="AC1396" s="222">
        <v>60</v>
      </c>
      <c r="AD1396" s="883" t="s">
        <v>3</v>
      </c>
      <c r="AE1396" s="159">
        <v>48</v>
      </c>
      <c r="AF1396" s="14"/>
      <c r="AG1396" s="14"/>
      <c r="AH1396" s="151" t="s">
        <v>1002</v>
      </c>
      <c r="AI1396" s="222">
        <v>30</v>
      </c>
      <c r="AJ1396" s="883" t="s">
        <v>3</v>
      </c>
      <c r="AK1396" s="159">
        <v>24</v>
      </c>
      <c r="AL1396" s="14"/>
      <c r="AM1396" s="14"/>
      <c r="AN1396" s="151" t="s">
        <v>1002</v>
      </c>
      <c r="AO1396" s="222">
        <v>15</v>
      </c>
      <c r="AP1396" s="883" t="s">
        <v>3</v>
      </c>
      <c r="AQ1396" s="159">
        <v>12</v>
      </c>
      <c r="AR1396" s="9"/>
    </row>
    <row r="1397" spans="1:86" s="557" customFormat="1" ht="45" hidden="1" customHeight="1" x14ac:dyDescent="0.25">
      <c r="A1397" s="883">
        <v>11</v>
      </c>
      <c r="B1397" s="230"/>
      <c r="C1397" s="919" t="s">
        <v>1017</v>
      </c>
      <c r="D1397" s="955"/>
      <c r="E1397" s="135"/>
      <c r="F1397" s="955"/>
      <c r="G1397" s="2573"/>
      <c r="H1397" s="2572"/>
      <c r="I1397" s="947"/>
      <c r="J1397" s="151" t="s">
        <v>1003</v>
      </c>
      <c r="K1397" s="892">
        <f>1100+5264.6+1530</f>
        <v>7894.6</v>
      </c>
      <c r="L1397" s="878" t="s">
        <v>1005</v>
      </c>
      <c r="M1397" s="897">
        <f>1600+3767.64+1530</f>
        <v>6897.6399999999994</v>
      </c>
      <c r="N1397" s="892"/>
      <c r="O1397" s="897"/>
      <c r="P1397" s="151" t="s">
        <v>1003</v>
      </c>
      <c r="Q1397" s="222">
        <f>130+619</f>
        <v>749</v>
      </c>
      <c r="R1397" s="883" t="s">
        <v>1005</v>
      </c>
      <c r="S1397" s="972">
        <f>65+402.6</f>
        <v>467.6</v>
      </c>
      <c r="T1397" s="14"/>
      <c r="U1397" s="14"/>
      <c r="V1397" s="151" t="s">
        <v>1003</v>
      </c>
      <c r="W1397" s="222">
        <f>95+774</f>
        <v>869</v>
      </c>
      <c r="X1397" s="883" t="s">
        <v>1005</v>
      </c>
      <c r="Y1397" s="159">
        <f>47.5+503.3</f>
        <v>550.79999999999995</v>
      </c>
      <c r="Z1397" s="14"/>
      <c r="AA1397" s="14"/>
      <c r="AB1397" s="151" t="s">
        <v>1003</v>
      </c>
      <c r="AC1397" s="222">
        <f>90+1032</f>
        <v>1122</v>
      </c>
      <c r="AD1397" s="883" t="s">
        <v>1005</v>
      </c>
      <c r="AE1397" s="159">
        <f>45+671</f>
        <v>716</v>
      </c>
      <c r="AF1397" s="14"/>
      <c r="AG1397" s="14"/>
      <c r="AH1397" s="151" t="s">
        <v>1003</v>
      </c>
      <c r="AI1397" s="222">
        <f>65+77</f>
        <v>142</v>
      </c>
      <c r="AJ1397" s="883" t="s">
        <v>1005</v>
      </c>
      <c r="AK1397" s="159">
        <f>32.5+50.3</f>
        <v>82.8</v>
      </c>
      <c r="AL1397" s="14"/>
      <c r="AM1397" s="14"/>
      <c r="AN1397" s="151" t="s">
        <v>1003</v>
      </c>
      <c r="AO1397" s="222">
        <f>50+77</f>
        <v>127</v>
      </c>
      <c r="AP1397" s="883" t="s">
        <v>1005</v>
      </c>
      <c r="AQ1397" s="159">
        <f>25+50.3</f>
        <v>75.3</v>
      </c>
      <c r="AR1397" s="9"/>
    </row>
    <row r="1398" spans="1:86" s="122" customFormat="1" ht="24.4" hidden="1" customHeight="1" x14ac:dyDescent="0.2">
      <c r="A1398" s="148"/>
      <c r="B1398" s="1022"/>
      <c r="C1398" s="140"/>
      <c r="D1398" s="985"/>
      <c r="E1398" s="1168"/>
      <c r="F1398" s="985"/>
      <c r="G1398" s="1168"/>
      <c r="H1398" s="153"/>
      <c r="I1398" s="153"/>
      <c r="J1398" s="153"/>
      <c r="K1398" s="153"/>
      <c r="L1398" s="153"/>
      <c r="M1398" s="207"/>
      <c r="N1398" s="153"/>
      <c r="O1398" s="153"/>
      <c r="P1398" s="153"/>
      <c r="Q1398" s="153"/>
      <c r="R1398" s="153"/>
      <c r="S1398" s="207"/>
      <c r="T1398" s="153"/>
      <c r="U1398" s="153"/>
      <c r="V1398" s="153"/>
      <c r="W1398" s="91"/>
      <c r="X1398" s="92"/>
      <c r="Y1398" s="155"/>
      <c r="Z1398" s="153"/>
      <c r="AA1398" s="153"/>
      <c r="AB1398" s="153"/>
      <c r="AC1398" s="153"/>
      <c r="AD1398" s="153"/>
      <c r="AE1398" s="153"/>
      <c r="AF1398" s="153"/>
      <c r="AG1398" s="153"/>
      <c r="AH1398" s="153"/>
      <c r="AI1398" s="153"/>
      <c r="AJ1398" s="153"/>
      <c r="AK1398" s="153"/>
      <c r="AL1398" s="1019"/>
      <c r="AM1398" s="1019"/>
      <c r="AN1398" s="1052"/>
      <c r="AO1398" s="911"/>
      <c r="AP1398" s="911"/>
      <c r="AQ1398" s="1035"/>
      <c r="AR1398" s="153"/>
      <c r="AS1398" s="121"/>
      <c r="AT1398" s="121"/>
      <c r="AU1398" s="121"/>
      <c r="AV1398" s="121"/>
      <c r="AW1398" s="121"/>
      <c r="AX1398" s="121"/>
      <c r="AY1398" s="121"/>
      <c r="AZ1398" s="121"/>
      <c r="BA1398" s="121"/>
      <c r="BB1398" s="121"/>
      <c r="BC1398" s="121"/>
      <c r="BD1398" s="121"/>
      <c r="BE1398" s="121"/>
      <c r="BF1398" s="121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21"/>
      <c r="BS1398" s="121"/>
      <c r="BT1398" s="121"/>
      <c r="BU1398" s="121"/>
      <c r="BV1398" s="121"/>
      <c r="BW1398" s="121"/>
      <c r="BX1398" s="121"/>
      <c r="BY1398" s="121"/>
      <c r="BZ1398" s="121"/>
      <c r="CA1398" s="121"/>
      <c r="CB1398" s="121"/>
      <c r="CC1398" s="121"/>
      <c r="CD1398" s="121"/>
      <c r="CE1398" s="121"/>
      <c r="CF1398" s="121"/>
      <c r="CG1398" s="121"/>
      <c r="CH1398" s="121"/>
    </row>
    <row r="1399" spans="1:86" s="122" customFormat="1" ht="32.85" customHeight="1" x14ac:dyDescent="0.2">
      <c r="A1399" s="148"/>
      <c r="B1399" s="1715" t="s">
        <v>848</v>
      </c>
      <c r="C1399" s="1716"/>
      <c r="D1399" s="1716"/>
      <c r="E1399" s="1716"/>
      <c r="F1399" s="1716"/>
      <c r="G1399" s="1716"/>
      <c r="H1399" s="1716"/>
      <c r="I1399" s="1716"/>
      <c r="J1399" s="1716"/>
      <c r="K1399" s="1716"/>
      <c r="L1399" s="1717"/>
      <c r="M1399" s="207">
        <f>M1400+M1412</f>
        <v>44059.135979999992</v>
      </c>
      <c r="N1399" s="153"/>
      <c r="O1399" s="153"/>
      <c r="P1399" s="153"/>
      <c r="Q1399" s="153"/>
      <c r="R1399" s="153"/>
      <c r="S1399" s="207"/>
      <c r="T1399" s="153"/>
      <c r="U1399" s="153"/>
      <c r="V1399" s="153"/>
      <c r="W1399" s="91"/>
      <c r="X1399" s="92"/>
      <c r="Y1399" s="155"/>
      <c r="Z1399" s="153"/>
      <c r="AA1399" s="153"/>
      <c r="AB1399" s="153"/>
      <c r="AC1399" s="153"/>
      <c r="AD1399" s="153"/>
      <c r="AE1399" s="153"/>
      <c r="AF1399" s="153"/>
      <c r="AG1399" s="153"/>
      <c r="AH1399" s="153"/>
      <c r="AI1399" s="153"/>
      <c r="AJ1399" s="153"/>
      <c r="AK1399" s="153"/>
      <c r="AL1399" s="1019"/>
      <c r="AM1399" s="1019"/>
      <c r="AN1399" s="1052"/>
      <c r="AO1399" s="911"/>
      <c r="AP1399" s="911"/>
      <c r="AQ1399" s="1035"/>
      <c r="AR1399" s="153"/>
      <c r="AS1399" s="121"/>
      <c r="AT1399" s="121"/>
      <c r="AU1399" s="121"/>
      <c r="AV1399" s="121"/>
      <c r="AW1399" s="121"/>
      <c r="AX1399" s="121"/>
      <c r="AY1399" s="121"/>
      <c r="AZ1399" s="121"/>
      <c r="BA1399" s="121"/>
      <c r="BB1399" s="121"/>
      <c r="BC1399" s="121"/>
      <c r="BD1399" s="121"/>
      <c r="BE1399" s="121"/>
      <c r="BF1399" s="121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21"/>
      <c r="BS1399" s="121"/>
      <c r="BT1399" s="121"/>
      <c r="BU1399" s="121"/>
      <c r="BV1399" s="121"/>
      <c r="BW1399" s="121"/>
      <c r="BX1399" s="121"/>
      <c r="BY1399" s="121"/>
      <c r="BZ1399" s="121"/>
      <c r="CA1399" s="121"/>
      <c r="CB1399" s="121"/>
      <c r="CC1399" s="121"/>
      <c r="CD1399" s="121"/>
      <c r="CE1399" s="121"/>
      <c r="CF1399" s="121"/>
      <c r="CG1399" s="121"/>
      <c r="CH1399" s="121"/>
    </row>
    <row r="1400" spans="1:86" s="122" customFormat="1" ht="29.65" customHeight="1" x14ac:dyDescent="0.2">
      <c r="A1400" s="148"/>
      <c r="B1400" s="230"/>
      <c r="C1400" s="351" t="s">
        <v>1026</v>
      </c>
      <c r="D1400" s="149"/>
      <c r="E1400" s="149"/>
      <c r="F1400" s="149"/>
      <c r="G1400" s="1168"/>
      <c r="H1400" s="153"/>
      <c r="I1400" s="153"/>
      <c r="J1400" s="153"/>
      <c r="K1400" s="153"/>
      <c r="L1400" s="153"/>
      <c r="M1400" s="207">
        <f>M1401+M1402+M1403+M1404+M1407+M1408+M1409+M1411+M1410</f>
        <v>41454.443109999993</v>
      </c>
      <c r="N1400" s="153"/>
      <c r="O1400" s="153"/>
      <c r="P1400" s="153"/>
      <c r="Q1400" s="153"/>
      <c r="R1400" s="153"/>
      <c r="S1400" s="207"/>
      <c r="T1400" s="153"/>
      <c r="U1400" s="153"/>
      <c r="V1400" s="153"/>
      <c r="W1400" s="91"/>
      <c r="X1400" s="92"/>
      <c r="Y1400" s="155"/>
      <c r="Z1400" s="153"/>
      <c r="AA1400" s="153"/>
      <c r="AB1400" s="153"/>
      <c r="AC1400" s="153"/>
      <c r="AD1400" s="153"/>
      <c r="AE1400" s="153"/>
      <c r="AF1400" s="153"/>
      <c r="AG1400" s="153"/>
      <c r="AH1400" s="153"/>
      <c r="AI1400" s="153"/>
      <c r="AJ1400" s="153"/>
      <c r="AK1400" s="153"/>
      <c r="AL1400" s="1019"/>
      <c r="AM1400" s="1019"/>
      <c r="AN1400" s="1052"/>
      <c r="AO1400" s="911"/>
      <c r="AP1400" s="911"/>
      <c r="AQ1400" s="1035"/>
      <c r="AR1400" s="153"/>
      <c r="AS1400" s="121"/>
      <c r="AT1400" s="121"/>
      <c r="AU1400" s="121"/>
      <c r="AV1400" s="121"/>
      <c r="AW1400" s="121"/>
      <c r="AX1400" s="121"/>
      <c r="AY1400" s="121"/>
      <c r="AZ1400" s="121"/>
      <c r="BA1400" s="121"/>
      <c r="BB1400" s="121"/>
      <c r="BC1400" s="121"/>
      <c r="BD1400" s="121"/>
      <c r="BE1400" s="121"/>
      <c r="BF1400" s="121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21"/>
      <c r="BS1400" s="121"/>
      <c r="BT1400" s="121"/>
      <c r="BU1400" s="121"/>
      <c r="BV1400" s="121"/>
      <c r="BW1400" s="121"/>
      <c r="BX1400" s="121"/>
      <c r="BY1400" s="121"/>
      <c r="BZ1400" s="121"/>
      <c r="CA1400" s="121"/>
      <c r="CB1400" s="121"/>
      <c r="CC1400" s="121"/>
      <c r="CD1400" s="121"/>
      <c r="CE1400" s="121"/>
      <c r="CF1400" s="121"/>
      <c r="CG1400" s="121"/>
      <c r="CH1400" s="121"/>
    </row>
    <row r="1401" spans="1:86" s="122" customFormat="1" ht="88.7" customHeight="1" x14ac:dyDescent="0.2">
      <c r="A1401" s="150">
        <v>1</v>
      </c>
      <c r="B1401" s="977"/>
      <c r="C1401" s="977" t="s">
        <v>993</v>
      </c>
      <c r="D1401" s="954">
        <f>422.6+324.9</f>
        <v>747.5</v>
      </c>
      <c r="E1401" s="953"/>
      <c r="F1401" s="954">
        <v>250.95400000000001</v>
      </c>
      <c r="G1401" s="1168"/>
      <c r="H1401" s="1012"/>
      <c r="I1401" s="1012"/>
      <c r="J1401" s="1012" t="s">
        <v>1358</v>
      </c>
      <c r="K1401" s="1021">
        <v>546</v>
      </c>
      <c r="L1401" s="1012" t="s">
        <v>994</v>
      </c>
      <c r="M1401" s="1007">
        <v>656.63184000000001</v>
      </c>
      <c r="N1401" s="153"/>
      <c r="O1401" s="153"/>
      <c r="P1401" s="153"/>
      <c r="Q1401" s="153"/>
      <c r="R1401" s="153"/>
      <c r="S1401" s="207"/>
      <c r="T1401" s="153"/>
      <c r="U1401" s="153"/>
      <c r="V1401" s="153"/>
      <c r="W1401" s="91"/>
      <c r="X1401" s="92"/>
      <c r="Y1401" s="155"/>
      <c r="Z1401" s="153"/>
      <c r="AA1401" s="153"/>
      <c r="AB1401" s="153"/>
      <c r="AC1401" s="153"/>
      <c r="AD1401" s="153"/>
      <c r="AE1401" s="153"/>
      <c r="AF1401" s="153"/>
      <c r="AG1401" s="153"/>
      <c r="AH1401" s="153"/>
      <c r="AI1401" s="153"/>
      <c r="AJ1401" s="153"/>
      <c r="AK1401" s="153"/>
      <c r="AL1401" s="1019"/>
      <c r="AM1401" s="1019"/>
      <c r="AN1401" s="1052"/>
      <c r="AO1401" s="911"/>
      <c r="AP1401" s="911"/>
      <c r="AQ1401" s="1035"/>
      <c r="AR1401" s="1012" t="s">
        <v>1012</v>
      </c>
      <c r="AS1401" s="121"/>
      <c r="AT1401" s="121"/>
      <c r="AU1401" s="121"/>
      <c r="AV1401" s="121"/>
      <c r="AW1401" s="121"/>
      <c r="AX1401" s="121"/>
      <c r="AY1401" s="121"/>
      <c r="AZ1401" s="121"/>
      <c r="BA1401" s="121"/>
      <c r="BB1401" s="121"/>
      <c r="BC1401" s="121"/>
      <c r="BD1401" s="121"/>
      <c r="BE1401" s="121"/>
      <c r="BF1401" s="121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21"/>
      <c r="BS1401" s="121"/>
      <c r="BT1401" s="121"/>
      <c r="BU1401" s="121"/>
      <c r="BV1401" s="121"/>
      <c r="BW1401" s="121"/>
      <c r="BX1401" s="121"/>
      <c r="BY1401" s="121"/>
      <c r="BZ1401" s="121"/>
      <c r="CA1401" s="121"/>
      <c r="CB1401" s="121"/>
      <c r="CC1401" s="121"/>
      <c r="CD1401" s="121"/>
      <c r="CE1401" s="121"/>
      <c r="CF1401" s="121"/>
      <c r="CG1401" s="121"/>
      <c r="CH1401" s="121"/>
    </row>
    <row r="1402" spans="1:86" s="122" customFormat="1" ht="54.6" customHeight="1" x14ac:dyDescent="0.2">
      <c r="A1402" s="150">
        <v>2</v>
      </c>
      <c r="B1402" s="977"/>
      <c r="C1402" s="977" t="s">
        <v>993</v>
      </c>
      <c r="D1402" s="954">
        <f t="shared" ref="D1402:D1403" si="25">422.6+324.9</f>
        <v>747.5</v>
      </c>
      <c r="E1402" s="953"/>
      <c r="F1402" s="954">
        <v>250.95400000000001</v>
      </c>
      <c r="G1402" s="1168"/>
      <c r="H1402" s="1012"/>
      <c r="I1402" s="1012"/>
      <c r="J1402" s="1012" t="s">
        <v>1019</v>
      </c>
      <c r="K1402" s="1021">
        <v>500</v>
      </c>
      <c r="L1402" s="1012" t="s">
        <v>8</v>
      </c>
      <c r="M1402" s="1007">
        <v>2023.66</v>
      </c>
      <c r="N1402" s="153"/>
      <c r="O1402" s="153"/>
      <c r="P1402" s="153"/>
      <c r="Q1402" s="153"/>
      <c r="R1402" s="153"/>
      <c r="S1402" s="207"/>
      <c r="T1402" s="153"/>
      <c r="U1402" s="153"/>
      <c r="V1402" s="153"/>
      <c r="W1402" s="91"/>
      <c r="X1402" s="92"/>
      <c r="Y1402" s="155"/>
      <c r="Z1402" s="153"/>
      <c r="AA1402" s="153"/>
      <c r="AB1402" s="153"/>
      <c r="AC1402" s="153"/>
      <c r="AD1402" s="153"/>
      <c r="AE1402" s="153"/>
      <c r="AF1402" s="153"/>
      <c r="AG1402" s="153"/>
      <c r="AH1402" s="153"/>
      <c r="AI1402" s="153"/>
      <c r="AJ1402" s="153"/>
      <c r="AK1402" s="153"/>
      <c r="AL1402" s="1019"/>
      <c r="AM1402" s="1019"/>
      <c r="AN1402" s="1052"/>
      <c r="AO1402" s="911"/>
      <c r="AP1402" s="911"/>
      <c r="AQ1402" s="1035"/>
      <c r="AR1402" s="153"/>
      <c r="AS1402" s="121"/>
      <c r="AT1402" s="121"/>
      <c r="AU1402" s="121"/>
      <c r="AV1402" s="121"/>
      <c r="AW1402" s="121"/>
      <c r="AX1402" s="121"/>
      <c r="AY1402" s="121"/>
      <c r="AZ1402" s="121"/>
      <c r="BA1402" s="121"/>
      <c r="BB1402" s="121"/>
      <c r="BC1402" s="121"/>
      <c r="BD1402" s="121"/>
      <c r="BE1402" s="121"/>
      <c r="BF1402" s="121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21"/>
      <c r="BS1402" s="121"/>
      <c r="BT1402" s="121"/>
      <c r="BU1402" s="121"/>
      <c r="BV1402" s="121"/>
      <c r="BW1402" s="121"/>
      <c r="BX1402" s="121"/>
      <c r="BY1402" s="121"/>
      <c r="BZ1402" s="121"/>
      <c r="CA1402" s="121"/>
      <c r="CB1402" s="121"/>
      <c r="CC1402" s="121"/>
      <c r="CD1402" s="121"/>
      <c r="CE1402" s="121"/>
      <c r="CF1402" s="121"/>
      <c r="CG1402" s="121"/>
      <c r="CH1402" s="121"/>
    </row>
    <row r="1403" spans="1:86" s="122" customFormat="1" ht="51.4" customHeight="1" x14ac:dyDescent="0.2">
      <c r="A1403" s="150">
        <v>3</v>
      </c>
      <c r="B1403" s="977"/>
      <c r="C1403" s="977" t="s">
        <v>993</v>
      </c>
      <c r="D1403" s="954">
        <f t="shared" si="25"/>
        <v>747.5</v>
      </c>
      <c r="E1403" s="953"/>
      <c r="F1403" s="954">
        <v>250.95400000000001</v>
      </c>
      <c r="G1403" s="1168"/>
      <c r="H1403" s="1012"/>
      <c r="I1403" s="1012"/>
      <c r="J1403" s="1012" t="s">
        <v>1023</v>
      </c>
      <c r="K1403" s="1021">
        <v>52000</v>
      </c>
      <c r="L1403" s="1012" t="s">
        <v>507</v>
      </c>
      <c r="M1403" s="1007">
        <v>16212.04</v>
      </c>
      <c r="N1403" s="153"/>
      <c r="O1403" s="153"/>
      <c r="P1403" s="153"/>
      <c r="Q1403" s="153"/>
      <c r="R1403" s="153"/>
      <c r="S1403" s="207"/>
      <c r="T1403" s="153"/>
      <c r="U1403" s="153"/>
      <c r="V1403" s="153"/>
      <c r="W1403" s="91"/>
      <c r="X1403" s="92"/>
      <c r="Y1403" s="155"/>
      <c r="Z1403" s="153"/>
      <c r="AA1403" s="153"/>
      <c r="AB1403" s="153"/>
      <c r="AC1403" s="153"/>
      <c r="AD1403" s="153"/>
      <c r="AE1403" s="153"/>
      <c r="AF1403" s="153"/>
      <c r="AG1403" s="153"/>
      <c r="AH1403" s="153"/>
      <c r="AI1403" s="153"/>
      <c r="AJ1403" s="153"/>
      <c r="AK1403" s="153"/>
      <c r="AL1403" s="1019"/>
      <c r="AM1403" s="1019"/>
      <c r="AN1403" s="1052"/>
      <c r="AO1403" s="911"/>
      <c r="AP1403" s="911"/>
      <c r="AQ1403" s="1035"/>
      <c r="AR1403" s="153"/>
      <c r="AS1403" s="121"/>
      <c r="AT1403" s="121"/>
      <c r="AU1403" s="121"/>
      <c r="AV1403" s="121"/>
      <c r="AW1403" s="121"/>
      <c r="AX1403" s="121"/>
      <c r="AY1403" s="121"/>
      <c r="AZ1403" s="121"/>
      <c r="BA1403" s="121"/>
      <c r="BB1403" s="121"/>
      <c r="BC1403" s="121"/>
      <c r="BD1403" s="121"/>
      <c r="BE1403" s="121"/>
      <c r="BF1403" s="121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21"/>
      <c r="BS1403" s="121"/>
      <c r="BT1403" s="121"/>
      <c r="BU1403" s="121"/>
      <c r="BV1403" s="121"/>
      <c r="BW1403" s="121"/>
      <c r="BX1403" s="121"/>
      <c r="BY1403" s="121"/>
      <c r="BZ1403" s="121"/>
      <c r="CA1403" s="121"/>
      <c r="CB1403" s="121"/>
      <c r="CC1403" s="121"/>
      <c r="CD1403" s="121"/>
      <c r="CE1403" s="121"/>
      <c r="CF1403" s="121"/>
      <c r="CG1403" s="121"/>
      <c r="CH1403" s="121"/>
    </row>
    <row r="1404" spans="1:86" s="122" customFormat="1" ht="25.15" customHeight="1" x14ac:dyDescent="0.2">
      <c r="A1404" s="1603">
        <v>4</v>
      </c>
      <c r="B1404" s="977"/>
      <c r="C1404" s="977" t="s">
        <v>463</v>
      </c>
      <c r="D1404" s="954">
        <v>0.57199999999999995</v>
      </c>
      <c r="E1404" s="954">
        <v>3804</v>
      </c>
      <c r="F1404" s="1034">
        <v>0</v>
      </c>
      <c r="G1404" s="987">
        <v>0</v>
      </c>
      <c r="H1404" s="1012"/>
      <c r="I1404" s="1012"/>
      <c r="J1404" s="1595" t="s">
        <v>1358</v>
      </c>
      <c r="K1404" s="1021">
        <v>1</v>
      </c>
      <c r="L1404" s="1012" t="s">
        <v>8</v>
      </c>
      <c r="M1404" s="1959">
        <v>389</v>
      </c>
      <c r="N1404" s="153"/>
      <c r="O1404" s="153"/>
      <c r="P1404" s="153"/>
      <c r="Q1404" s="153"/>
      <c r="R1404" s="153"/>
      <c r="S1404" s="207"/>
      <c r="T1404" s="153"/>
      <c r="U1404" s="153"/>
      <c r="V1404" s="153"/>
      <c r="W1404" s="91"/>
      <c r="X1404" s="92"/>
      <c r="Y1404" s="155"/>
      <c r="Z1404" s="153"/>
      <c r="AA1404" s="153"/>
      <c r="AB1404" s="153"/>
      <c r="AC1404" s="153"/>
      <c r="AD1404" s="153"/>
      <c r="AE1404" s="153"/>
      <c r="AF1404" s="153"/>
      <c r="AG1404" s="153"/>
      <c r="AH1404" s="153"/>
      <c r="AI1404" s="153"/>
      <c r="AJ1404" s="153"/>
      <c r="AK1404" s="153"/>
      <c r="AL1404" s="1019"/>
      <c r="AM1404" s="1019"/>
      <c r="AN1404" s="1052"/>
      <c r="AO1404" s="911"/>
      <c r="AP1404" s="911"/>
      <c r="AQ1404" s="1035"/>
      <c r="AR1404" s="1595" t="s">
        <v>1033</v>
      </c>
      <c r="AS1404" s="121"/>
      <c r="AT1404" s="121"/>
      <c r="AU1404" s="121"/>
      <c r="AV1404" s="121"/>
      <c r="AW1404" s="121"/>
      <c r="AX1404" s="121"/>
      <c r="AY1404" s="121"/>
      <c r="AZ1404" s="121"/>
      <c r="BA1404" s="121"/>
      <c r="BB1404" s="121"/>
      <c r="BC1404" s="121"/>
      <c r="BD1404" s="121"/>
      <c r="BE1404" s="121"/>
      <c r="BF1404" s="121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21"/>
      <c r="BS1404" s="121"/>
      <c r="BT1404" s="121"/>
      <c r="BU1404" s="121"/>
      <c r="BV1404" s="121"/>
      <c r="BW1404" s="121"/>
      <c r="BX1404" s="121"/>
      <c r="BY1404" s="121"/>
      <c r="BZ1404" s="121"/>
      <c r="CA1404" s="121"/>
      <c r="CB1404" s="121"/>
      <c r="CC1404" s="121"/>
      <c r="CD1404" s="121"/>
      <c r="CE1404" s="121"/>
      <c r="CF1404" s="121"/>
      <c r="CG1404" s="121"/>
      <c r="CH1404" s="121"/>
    </row>
    <row r="1405" spans="1:86" s="122" customFormat="1" ht="61.7" customHeight="1" x14ac:dyDescent="0.2">
      <c r="A1405" s="1802"/>
      <c r="B1405" s="977"/>
      <c r="C1405" s="977" t="s">
        <v>1061</v>
      </c>
      <c r="D1405" s="1033">
        <v>1.08</v>
      </c>
      <c r="E1405" s="954">
        <v>8220</v>
      </c>
      <c r="F1405" s="1034">
        <v>0</v>
      </c>
      <c r="G1405" s="987">
        <v>0</v>
      </c>
      <c r="H1405" s="1012"/>
      <c r="I1405" s="1012"/>
      <c r="J1405" s="1719"/>
      <c r="K1405" s="1021">
        <v>1</v>
      </c>
      <c r="L1405" s="1012" t="s">
        <v>8</v>
      </c>
      <c r="M1405" s="1937"/>
      <c r="N1405" s="153"/>
      <c r="O1405" s="153"/>
      <c r="P1405" s="153"/>
      <c r="Q1405" s="153"/>
      <c r="R1405" s="153"/>
      <c r="S1405" s="207"/>
      <c r="T1405" s="153"/>
      <c r="U1405" s="153"/>
      <c r="V1405" s="153"/>
      <c r="W1405" s="91"/>
      <c r="X1405" s="92"/>
      <c r="Y1405" s="155"/>
      <c r="Z1405" s="153"/>
      <c r="AA1405" s="153"/>
      <c r="AB1405" s="153"/>
      <c r="AC1405" s="153"/>
      <c r="AD1405" s="153"/>
      <c r="AE1405" s="153"/>
      <c r="AF1405" s="153"/>
      <c r="AG1405" s="153"/>
      <c r="AH1405" s="153"/>
      <c r="AI1405" s="153"/>
      <c r="AJ1405" s="153"/>
      <c r="AK1405" s="153"/>
      <c r="AL1405" s="1019"/>
      <c r="AM1405" s="1019"/>
      <c r="AN1405" s="1052"/>
      <c r="AO1405" s="911"/>
      <c r="AP1405" s="911"/>
      <c r="AQ1405" s="1035"/>
      <c r="AR1405" s="1719"/>
      <c r="AS1405" s="121"/>
      <c r="AT1405" s="121"/>
      <c r="AU1405" s="121"/>
      <c r="AV1405" s="121"/>
      <c r="AW1405" s="121"/>
      <c r="AX1405" s="121"/>
      <c r="AY1405" s="121"/>
      <c r="AZ1405" s="121"/>
      <c r="BA1405" s="121"/>
      <c r="BB1405" s="121"/>
      <c r="BC1405" s="121"/>
      <c r="BD1405" s="121"/>
      <c r="BE1405" s="121"/>
      <c r="BF1405" s="121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21"/>
      <c r="BS1405" s="121"/>
      <c r="BT1405" s="121"/>
      <c r="BU1405" s="121"/>
      <c r="BV1405" s="121"/>
      <c r="BW1405" s="121"/>
      <c r="BX1405" s="121"/>
      <c r="BY1405" s="121"/>
      <c r="BZ1405" s="121"/>
      <c r="CA1405" s="121"/>
      <c r="CB1405" s="121"/>
      <c r="CC1405" s="121"/>
      <c r="CD1405" s="121"/>
      <c r="CE1405" s="121"/>
      <c r="CF1405" s="121"/>
      <c r="CG1405" s="121"/>
      <c r="CH1405" s="121"/>
    </row>
    <row r="1406" spans="1:86" s="122" customFormat="1" ht="25.15" customHeight="1" x14ac:dyDescent="0.2">
      <c r="A1406" s="1604"/>
      <c r="B1406" s="977"/>
      <c r="C1406" s="977" t="s">
        <v>1006</v>
      </c>
      <c r="D1406" s="1033">
        <v>0.5</v>
      </c>
      <c r="E1406" s="954">
        <v>2542</v>
      </c>
      <c r="F1406" s="1034">
        <v>0</v>
      </c>
      <c r="G1406" s="987">
        <v>0</v>
      </c>
      <c r="H1406" s="1012"/>
      <c r="I1406" s="1012"/>
      <c r="J1406" s="1593"/>
      <c r="K1406" s="1021">
        <v>1</v>
      </c>
      <c r="L1406" s="1012" t="s">
        <v>8</v>
      </c>
      <c r="M1406" s="1960"/>
      <c r="N1406" s="153"/>
      <c r="O1406" s="153"/>
      <c r="P1406" s="153"/>
      <c r="Q1406" s="153"/>
      <c r="R1406" s="153"/>
      <c r="S1406" s="207"/>
      <c r="T1406" s="153"/>
      <c r="U1406" s="153"/>
      <c r="V1406" s="153"/>
      <c r="W1406" s="91"/>
      <c r="X1406" s="92"/>
      <c r="Y1406" s="155"/>
      <c r="Z1406" s="153"/>
      <c r="AA1406" s="153"/>
      <c r="AB1406" s="153"/>
      <c r="AC1406" s="153"/>
      <c r="AD1406" s="153"/>
      <c r="AE1406" s="153"/>
      <c r="AF1406" s="153"/>
      <c r="AG1406" s="153"/>
      <c r="AH1406" s="153"/>
      <c r="AI1406" s="153"/>
      <c r="AJ1406" s="153"/>
      <c r="AK1406" s="153"/>
      <c r="AL1406" s="1019"/>
      <c r="AM1406" s="1019"/>
      <c r="AN1406" s="1052"/>
      <c r="AO1406" s="911"/>
      <c r="AP1406" s="911"/>
      <c r="AQ1406" s="1035"/>
      <c r="AR1406" s="1593"/>
      <c r="AS1406" s="121"/>
      <c r="AT1406" s="121"/>
      <c r="AU1406" s="121"/>
      <c r="AV1406" s="121"/>
      <c r="AW1406" s="121"/>
      <c r="AX1406" s="121"/>
      <c r="AY1406" s="121"/>
      <c r="AZ1406" s="121"/>
      <c r="BA1406" s="121"/>
      <c r="BB1406" s="121"/>
      <c r="BC1406" s="121"/>
      <c r="BD1406" s="121"/>
      <c r="BE1406" s="121"/>
      <c r="BF1406" s="121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21"/>
      <c r="BS1406" s="121"/>
      <c r="BT1406" s="121"/>
      <c r="BU1406" s="121"/>
      <c r="BV1406" s="121"/>
      <c r="BW1406" s="121"/>
      <c r="BX1406" s="121"/>
      <c r="BY1406" s="121"/>
      <c r="BZ1406" s="121"/>
      <c r="CA1406" s="121"/>
      <c r="CB1406" s="121"/>
      <c r="CC1406" s="121"/>
      <c r="CD1406" s="121"/>
      <c r="CE1406" s="121"/>
      <c r="CF1406" s="121"/>
      <c r="CG1406" s="121"/>
      <c r="CH1406" s="121"/>
    </row>
    <row r="1407" spans="1:86" s="122" customFormat="1" ht="90.6" customHeight="1" x14ac:dyDescent="0.2">
      <c r="A1407" s="150">
        <v>5</v>
      </c>
      <c r="B1407" s="977"/>
      <c r="C1407" s="977" t="s">
        <v>993</v>
      </c>
      <c r="D1407" s="954">
        <f>422.6+324.9</f>
        <v>747.5</v>
      </c>
      <c r="E1407" s="953"/>
      <c r="F1407" s="954">
        <v>250.95400000000001</v>
      </c>
      <c r="G1407" s="1168"/>
      <c r="H1407" s="1012"/>
      <c r="I1407" s="1012"/>
      <c r="J1407" s="1012" t="s">
        <v>1358</v>
      </c>
      <c r="K1407" s="1021">
        <v>143</v>
      </c>
      <c r="L1407" s="1012" t="s">
        <v>8</v>
      </c>
      <c r="M1407" s="1007">
        <v>20207.481299999999</v>
      </c>
      <c r="N1407" s="153"/>
      <c r="O1407" s="153"/>
      <c r="P1407" s="153"/>
      <c r="Q1407" s="153"/>
      <c r="R1407" s="153"/>
      <c r="S1407" s="207"/>
      <c r="T1407" s="153"/>
      <c r="U1407" s="153"/>
      <c r="V1407" s="153"/>
      <c r="W1407" s="91"/>
      <c r="X1407" s="92"/>
      <c r="Y1407" s="155"/>
      <c r="Z1407" s="153"/>
      <c r="AA1407" s="153"/>
      <c r="AB1407" s="153"/>
      <c r="AC1407" s="153"/>
      <c r="AD1407" s="153"/>
      <c r="AE1407" s="153"/>
      <c r="AF1407" s="153"/>
      <c r="AG1407" s="153"/>
      <c r="AH1407" s="153"/>
      <c r="AI1407" s="153"/>
      <c r="AJ1407" s="153"/>
      <c r="AK1407" s="153"/>
      <c r="AL1407" s="1019"/>
      <c r="AM1407" s="1019"/>
      <c r="AN1407" s="1052"/>
      <c r="AO1407" s="911"/>
      <c r="AP1407" s="911"/>
      <c r="AQ1407" s="1035"/>
      <c r="AR1407" s="1012" t="s">
        <v>1034</v>
      </c>
      <c r="AS1407" s="121"/>
      <c r="AT1407" s="121"/>
      <c r="AU1407" s="121"/>
      <c r="AV1407" s="121"/>
      <c r="AW1407" s="121"/>
      <c r="AX1407" s="121"/>
      <c r="AY1407" s="121"/>
      <c r="AZ1407" s="121"/>
      <c r="BA1407" s="121"/>
      <c r="BB1407" s="121"/>
      <c r="BC1407" s="121"/>
      <c r="BD1407" s="121"/>
      <c r="BE1407" s="121"/>
      <c r="BF1407" s="121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21"/>
      <c r="BS1407" s="121"/>
      <c r="BT1407" s="121"/>
      <c r="BU1407" s="121"/>
      <c r="BV1407" s="121"/>
      <c r="BW1407" s="121"/>
      <c r="BX1407" s="121"/>
      <c r="BY1407" s="121"/>
      <c r="BZ1407" s="121"/>
      <c r="CA1407" s="121"/>
      <c r="CB1407" s="121"/>
      <c r="CC1407" s="121"/>
      <c r="CD1407" s="121"/>
      <c r="CE1407" s="121"/>
      <c r="CF1407" s="121"/>
      <c r="CG1407" s="121"/>
      <c r="CH1407" s="121"/>
    </row>
    <row r="1408" spans="1:86" s="122" customFormat="1" ht="99" customHeight="1" x14ac:dyDescent="0.2">
      <c r="A1408" s="1020">
        <v>6</v>
      </c>
      <c r="B1408" s="883" t="s">
        <v>278</v>
      </c>
      <c r="C1408" s="977" t="s">
        <v>1010</v>
      </c>
      <c r="D1408" s="954">
        <v>1.2210000000000001</v>
      </c>
      <c r="E1408" s="130">
        <v>13201</v>
      </c>
      <c r="F1408" s="954">
        <v>1.2210000000000001</v>
      </c>
      <c r="G1408" s="130">
        <v>13201</v>
      </c>
      <c r="H1408" s="878" t="s">
        <v>1355</v>
      </c>
      <c r="I1408" s="878" t="s">
        <v>1356</v>
      </c>
      <c r="J1408" s="1012" t="s">
        <v>1358</v>
      </c>
      <c r="K1408" s="991">
        <v>1</v>
      </c>
      <c r="L1408" s="995" t="s">
        <v>8</v>
      </c>
      <c r="M1408" s="291">
        <v>86.538870000000003</v>
      </c>
      <c r="N1408" s="153"/>
      <c r="O1408" s="153"/>
      <c r="P1408" s="153"/>
      <c r="Q1408" s="153"/>
      <c r="R1408" s="153"/>
      <c r="S1408" s="207"/>
      <c r="T1408" s="153"/>
      <c r="U1408" s="153"/>
      <c r="V1408" s="153"/>
      <c r="W1408" s="91"/>
      <c r="X1408" s="92"/>
      <c r="Y1408" s="155"/>
      <c r="Z1408" s="153"/>
      <c r="AA1408" s="153"/>
      <c r="AB1408" s="153"/>
      <c r="AC1408" s="153"/>
      <c r="AD1408" s="153"/>
      <c r="AE1408" s="153"/>
      <c r="AF1408" s="153"/>
      <c r="AG1408" s="153"/>
      <c r="AH1408" s="153"/>
      <c r="AI1408" s="153"/>
      <c r="AJ1408" s="153"/>
      <c r="AK1408" s="153"/>
      <c r="AL1408" s="1019"/>
      <c r="AM1408" s="1019"/>
      <c r="AN1408" s="1052"/>
      <c r="AO1408" s="911"/>
      <c r="AP1408" s="911"/>
      <c r="AQ1408" s="1035"/>
      <c r="AR1408" s="1012" t="s">
        <v>1359</v>
      </c>
      <c r="AS1408" s="121"/>
      <c r="AT1408" s="121"/>
      <c r="AU1408" s="121"/>
      <c r="AV1408" s="121"/>
      <c r="AW1408" s="121"/>
      <c r="AX1408" s="121"/>
      <c r="AY1408" s="121"/>
      <c r="AZ1408" s="121"/>
      <c r="BA1408" s="121"/>
      <c r="BB1408" s="121"/>
      <c r="BC1408" s="121"/>
      <c r="BD1408" s="121"/>
      <c r="BE1408" s="121"/>
      <c r="BF1408" s="121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21"/>
      <c r="BS1408" s="121"/>
      <c r="BT1408" s="121"/>
      <c r="BU1408" s="121"/>
      <c r="BV1408" s="121"/>
      <c r="BW1408" s="121"/>
      <c r="BX1408" s="121"/>
      <c r="BY1408" s="121"/>
      <c r="BZ1408" s="121"/>
      <c r="CA1408" s="121"/>
      <c r="CB1408" s="121"/>
      <c r="CC1408" s="121"/>
      <c r="CD1408" s="121"/>
      <c r="CE1408" s="121"/>
      <c r="CF1408" s="121"/>
      <c r="CG1408" s="121"/>
      <c r="CH1408" s="121"/>
    </row>
    <row r="1409" spans="1:86" s="122" customFormat="1" ht="34.700000000000003" customHeight="1" x14ac:dyDescent="0.2">
      <c r="A1409" s="1020">
        <v>7</v>
      </c>
      <c r="B1409" s="1169">
        <v>2238264</v>
      </c>
      <c r="C1409" s="977" t="s">
        <v>1008</v>
      </c>
      <c r="D1409" s="954">
        <v>3.4870000000000001</v>
      </c>
      <c r="E1409" s="1034">
        <v>48133</v>
      </c>
      <c r="F1409" s="954">
        <v>3.4870000000000001</v>
      </c>
      <c r="G1409" s="1034">
        <v>48133</v>
      </c>
      <c r="H1409" s="878" t="s">
        <v>1116</v>
      </c>
      <c r="I1409" s="878" t="s">
        <v>1116</v>
      </c>
      <c r="J1409" s="1011" t="s">
        <v>1035</v>
      </c>
      <c r="K1409" s="892">
        <v>1</v>
      </c>
      <c r="L1409" s="1374" t="s">
        <v>8</v>
      </c>
      <c r="M1409" s="897">
        <v>460.34154999999998</v>
      </c>
      <c r="N1409" s="153"/>
      <c r="O1409" s="153"/>
      <c r="P1409" s="153"/>
      <c r="Q1409" s="153"/>
      <c r="R1409" s="153"/>
      <c r="S1409" s="207"/>
      <c r="T1409" s="153"/>
      <c r="U1409" s="153"/>
      <c r="V1409" s="153"/>
      <c r="W1409" s="91"/>
      <c r="X1409" s="92"/>
      <c r="Y1409" s="155"/>
      <c r="Z1409" s="153"/>
      <c r="AA1409" s="153"/>
      <c r="AB1409" s="153"/>
      <c r="AC1409" s="153"/>
      <c r="AD1409" s="153"/>
      <c r="AE1409" s="153"/>
      <c r="AF1409" s="153"/>
      <c r="AG1409" s="153"/>
      <c r="AH1409" s="153"/>
      <c r="AI1409" s="153"/>
      <c r="AJ1409" s="153"/>
      <c r="AK1409" s="153"/>
      <c r="AL1409" s="1019"/>
      <c r="AM1409" s="1019"/>
      <c r="AN1409" s="1052"/>
      <c r="AO1409" s="911"/>
      <c r="AP1409" s="911"/>
      <c r="AQ1409" s="1035"/>
      <c r="AR1409" s="153"/>
      <c r="AS1409" s="121"/>
      <c r="AT1409" s="121"/>
      <c r="AU1409" s="121"/>
      <c r="AV1409" s="121"/>
      <c r="AW1409" s="121"/>
      <c r="AX1409" s="121"/>
      <c r="AY1409" s="121"/>
      <c r="AZ1409" s="121"/>
      <c r="BA1409" s="121"/>
      <c r="BB1409" s="121"/>
      <c r="BC1409" s="121"/>
      <c r="BD1409" s="121"/>
      <c r="BE1409" s="121"/>
      <c r="BF1409" s="121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21"/>
      <c r="BS1409" s="121"/>
      <c r="BT1409" s="121"/>
      <c r="BU1409" s="121"/>
      <c r="BV1409" s="121"/>
      <c r="BW1409" s="121"/>
      <c r="BX1409" s="121"/>
      <c r="BY1409" s="121"/>
      <c r="BZ1409" s="121"/>
      <c r="CA1409" s="121"/>
      <c r="CB1409" s="121"/>
      <c r="CC1409" s="121"/>
      <c r="CD1409" s="121"/>
      <c r="CE1409" s="121"/>
      <c r="CF1409" s="121"/>
      <c r="CG1409" s="121"/>
      <c r="CH1409" s="121"/>
    </row>
    <row r="1410" spans="1:86" s="122" customFormat="1" ht="33.4" customHeight="1" x14ac:dyDescent="0.2">
      <c r="A1410" s="1173">
        <v>8</v>
      </c>
      <c r="B1410" s="883" t="s">
        <v>738</v>
      </c>
      <c r="C1410" s="977" t="s">
        <v>1009</v>
      </c>
      <c r="D1410" s="954">
        <v>1.794</v>
      </c>
      <c r="E1410" s="1034">
        <v>24205</v>
      </c>
      <c r="F1410" s="954">
        <v>1.794</v>
      </c>
      <c r="G1410" s="987">
        <v>24205</v>
      </c>
      <c r="H1410" s="878" t="s">
        <v>1092</v>
      </c>
      <c r="I1410" s="878" t="s">
        <v>1093</v>
      </c>
      <c r="J1410" s="1068" t="s">
        <v>1035</v>
      </c>
      <c r="K1410" s="892">
        <v>1</v>
      </c>
      <c r="L1410" s="1375"/>
      <c r="M1410" s="898">
        <v>61.862990000000003</v>
      </c>
      <c r="N1410" s="153"/>
      <c r="O1410" s="153"/>
      <c r="P1410" s="153"/>
      <c r="Q1410" s="153"/>
      <c r="R1410" s="153"/>
      <c r="S1410" s="207"/>
      <c r="T1410" s="153"/>
      <c r="U1410" s="153"/>
      <c r="V1410" s="153"/>
      <c r="W1410" s="91"/>
      <c r="X1410" s="92"/>
      <c r="Y1410" s="155"/>
      <c r="Z1410" s="153"/>
      <c r="AA1410" s="153"/>
      <c r="AB1410" s="153"/>
      <c r="AC1410" s="153"/>
      <c r="AD1410" s="153"/>
      <c r="AE1410" s="153"/>
      <c r="AF1410" s="153"/>
      <c r="AG1410" s="153"/>
      <c r="AH1410" s="153"/>
      <c r="AI1410" s="153"/>
      <c r="AJ1410" s="153"/>
      <c r="AK1410" s="153"/>
      <c r="AL1410" s="1019"/>
      <c r="AM1410" s="1019"/>
      <c r="AN1410" s="1052"/>
      <c r="AO1410" s="911"/>
      <c r="AP1410" s="911"/>
      <c r="AQ1410" s="1035"/>
      <c r="AR1410" s="153"/>
      <c r="AS1410" s="121"/>
      <c r="AT1410" s="121"/>
      <c r="AU1410" s="121"/>
      <c r="AV1410" s="121"/>
      <c r="AW1410" s="121"/>
      <c r="AX1410" s="121"/>
      <c r="AY1410" s="121"/>
      <c r="AZ1410" s="121"/>
      <c r="BA1410" s="121"/>
      <c r="BB1410" s="121"/>
      <c r="BC1410" s="121"/>
      <c r="BD1410" s="121"/>
      <c r="BE1410" s="121"/>
      <c r="BF1410" s="121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21"/>
      <c r="BS1410" s="121"/>
      <c r="BT1410" s="121"/>
      <c r="BU1410" s="121"/>
      <c r="BV1410" s="121"/>
      <c r="BW1410" s="121"/>
      <c r="BX1410" s="121"/>
      <c r="BY1410" s="121"/>
      <c r="BZ1410" s="121"/>
      <c r="CA1410" s="121"/>
      <c r="CB1410" s="121"/>
      <c r="CC1410" s="121"/>
      <c r="CD1410" s="121"/>
      <c r="CE1410" s="121"/>
      <c r="CF1410" s="121"/>
      <c r="CG1410" s="121"/>
      <c r="CH1410" s="121"/>
    </row>
    <row r="1411" spans="1:86" s="122" customFormat="1" ht="89.65" customHeight="1" x14ac:dyDescent="0.2">
      <c r="A1411" s="150">
        <v>9</v>
      </c>
      <c r="B1411" s="883" t="s">
        <v>318</v>
      </c>
      <c r="C1411" s="977" t="s">
        <v>1007</v>
      </c>
      <c r="D1411" s="954">
        <v>5.2649999999999997</v>
      </c>
      <c r="E1411" s="1034">
        <v>40715</v>
      </c>
      <c r="F1411" s="954">
        <v>5.2649999999999997</v>
      </c>
      <c r="G1411" s="1034">
        <v>40715</v>
      </c>
      <c r="H1411" s="878" t="s">
        <v>1117</v>
      </c>
      <c r="I1411" s="878" t="s">
        <v>1118</v>
      </c>
      <c r="J1411" s="1012" t="s">
        <v>1358</v>
      </c>
      <c r="K1411" s="992">
        <v>1</v>
      </c>
      <c r="L1411" s="1012" t="s">
        <v>8</v>
      </c>
      <c r="M1411" s="898">
        <v>1356.8865599999999</v>
      </c>
      <c r="N1411" s="153"/>
      <c r="O1411" s="153"/>
      <c r="P1411" s="153"/>
      <c r="Q1411" s="153"/>
      <c r="R1411" s="153"/>
      <c r="S1411" s="207"/>
      <c r="T1411" s="153"/>
      <c r="U1411" s="153"/>
      <c r="V1411" s="153"/>
      <c r="W1411" s="91"/>
      <c r="X1411" s="92"/>
      <c r="Y1411" s="155"/>
      <c r="Z1411" s="153"/>
      <c r="AA1411" s="153"/>
      <c r="AB1411" s="153"/>
      <c r="AC1411" s="153"/>
      <c r="AD1411" s="153"/>
      <c r="AE1411" s="153"/>
      <c r="AF1411" s="153"/>
      <c r="AG1411" s="153"/>
      <c r="AH1411" s="153"/>
      <c r="AI1411" s="153"/>
      <c r="AJ1411" s="153"/>
      <c r="AK1411" s="153"/>
      <c r="AL1411" s="1019"/>
      <c r="AM1411" s="1019"/>
      <c r="AN1411" s="1052"/>
      <c r="AO1411" s="911"/>
      <c r="AP1411" s="911"/>
      <c r="AQ1411" s="1035"/>
      <c r="AR1411" s="1012" t="s">
        <v>992</v>
      </c>
      <c r="AS1411" s="121"/>
      <c r="AT1411" s="121"/>
      <c r="AU1411" s="121"/>
      <c r="AV1411" s="121"/>
      <c r="AW1411" s="121"/>
      <c r="AX1411" s="121"/>
      <c r="AY1411" s="121"/>
      <c r="AZ1411" s="121"/>
      <c r="BA1411" s="121"/>
      <c r="BB1411" s="121"/>
      <c r="BC1411" s="121"/>
      <c r="BD1411" s="121"/>
      <c r="BE1411" s="121"/>
      <c r="BF1411" s="121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21"/>
      <c r="BS1411" s="121"/>
      <c r="BT1411" s="121"/>
      <c r="BU1411" s="121"/>
      <c r="BV1411" s="121"/>
      <c r="BW1411" s="121"/>
      <c r="BX1411" s="121"/>
      <c r="BY1411" s="121"/>
      <c r="BZ1411" s="121"/>
      <c r="CA1411" s="121"/>
      <c r="CB1411" s="121"/>
      <c r="CC1411" s="121"/>
      <c r="CD1411" s="121"/>
      <c r="CE1411" s="121"/>
      <c r="CF1411" s="121"/>
      <c r="CG1411" s="121"/>
      <c r="CH1411" s="121"/>
    </row>
    <row r="1412" spans="1:86" s="122" customFormat="1" ht="33.4" customHeight="1" x14ac:dyDescent="0.2">
      <c r="A1412" s="148"/>
      <c r="B1412" s="154"/>
      <c r="C1412" s="326" t="s">
        <v>1025</v>
      </c>
      <c r="D1412" s="152"/>
      <c r="E1412" s="153"/>
      <c r="F1412" s="152"/>
      <c r="G1412" s="153"/>
      <c r="H1412" s="152"/>
      <c r="I1412" s="152"/>
      <c r="J1412" s="152"/>
      <c r="K1412" s="152"/>
      <c r="L1412" s="152"/>
      <c r="M1412" s="207">
        <f>M1413+M1414+M1415+M1417+M1418+M1419+M1420+M1421+M1422</f>
        <v>2604.6928699999999</v>
      </c>
      <c r="N1412" s="153"/>
      <c r="O1412" s="153"/>
      <c r="P1412" s="153"/>
      <c r="Q1412" s="153"/>
      <c r="R1412" s="153"/>
      <c r="S1412" s="207"/>
      <c r="T1412" s="153"/>
      <c r="U1412" s="153"/>
      <c r="V1412" s="153"/>
      <c r="W1412" s="91"/>
      <c r="X1412" s="92"/>
      <c r="Y1412" s="155"/>
      <c r="Z1412" s="153"/>
      <c r="AA1412" s="153"/>
      <c r="AB1412" s="153"/>
      <c r="AC1412" s="153"/>
      <c r="AD1412" s="153"/>
      <c r="AE1412" s="153"/>
      <c r="AF1412" s="153"/>
      <c r="AG1412" s="153"/>
      <c r="AH1412" s="153"/>
      <c r="AI1412" s="153"/>
      <c r="AJ1412" s="153"/>
      <c r="AK1412" s="153"/>
      <c r="AL1412" s="1019"/>
      <c r="AM1412" s="1019"/>
      <c r="AN1412" s="1052"/>
      <c r="AO1412" s="911"/>
      <c r="AP1412" s="911"/>
      <c r="AQ1412" s="1035"/>
      <c r="AR1412" s="1012"/>
      <c r="AS1412" s="121"/>
      <c r="AT1412" s="121"/>
      <c r="AU1412" s="121"/>
      <c r="AV1412" s="121"/>
      <c r="AW1412" s="121"/>
      <c r="AX1412" s="121"/>
      <c r="AY1412" s="121"/>
      <c r="AZ1412" s="121"/>
      <c r="BA1412" s="121"/>
      <c r="BB1412" s="121"/>
      <c r="BC1412" s="121"/>
      <c r="BD1412" s="121"/>
      <c r="BE1412" s="121"/>
      <c r="BF1412" s="121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21"/>
      <c r="BS1412" s="121"/>
      <c r="BT1412" s="121"/>
      <c r="BU1412" s="121"/>
      <c r="BV1412" s="121"/>
      <c r="BW1412" s="121"/>
      <c r="BX1412" s="121"/>
      <c r="BY1412" s="121"/>
      <c r="BZ1412" s="121"/>
      <c r="CA1412" s="121"/>
      <c r="CB1412" s="121"/>
      <c r="CC1412" s="121"/>
      <c r="CD1412" s="121"/>
      <c r="CE1412" s="121"/>
      <c r="CF1412" s="121"/>
      <c r="CG1412" s="121"/>
      <c r="CH1412" s="121"/>
    </row>
    <row r="1413" spans="1:86" s="122" customFormat="1" ht="86.85" customHeight="1" x14ac:dyDescent="0.2">
      <c r="A1413" s="150">
        <v>1</v>
      </c>
      <c r="B1413" s="1172" t="s">
        <v>293</v>
      </c>
      <c r="C1413" s="968" t="s">
        <v>70</v>
      </c>
      <c r="D1413" s="985">
        <v>6.63</v>
      </c>
      <c r="E1413" s="987">
        <v>97914</v>
      </c>
      <c r="F1413" s="985">
        <v>6.63</v>
      </c>
      <c r="G1413" s="987">
        <v>97914</v>
      </c>
      <c r="H1413" s="914" t="s">
        <v>1119</v>
      </c>
      <c r="I1413" s="914"/>
      <c r="J1413" s="1114" t="s">
        <v>1358</v>
      </c>
      <c r="K1413" s="128">
        <v>0.104</v>
      </c>
      <c r="L1413" s="967" t="s">
        <v>2</v>
      </c>
      <c r="M1413" s="939">
        <v>226.71610000000001</v>
      </c>
      <c r="N1413" s="153"/>
      <c r="O1413" s="153"/>
      <c r="P1413" s="153"/>
      <c r="Q1413" s="153"/>
      <c r="R1413" s="153"/>
      <c r="S1413" s="207"/>
      <c r="T1413" s="153"/>
      <c r="U1413" s="153"/>
      <c r="V1413" s="153"/>
      <c r="W1413" s="91"/>
      <c r="X1413" s="92"/>
      <c r="Y1413" s="155"/>
      <c r="Z1413" s="153"/>
      <c r="AA1413" s="153"/>
      <c r="AB1413" s="153"/>
      <c r="AC1413" s="153"/>
      <c r="AD1413" s="153"/>
      <c r="AE1413" s="153"/>
      <c r="AF1413" s="153"/>
      <c r="AG1413" s="153"/>
      <c r="AH1413" s="153"/>
      <c r="AI1413" s="153"/>
      <c r="AJ1413" s="153"/>
      <c r="AK1413" s="153"/>
      <c r="AL1413" s="1019"/>
      <c r="AM1413" s="1019"/>
      <c r="AN1413" s="1052"/>
      <c r="AO1413" s="911"/>
      <c r="AP1413" s="911"/>
      <c r="AQ1413" s="1035"/>
      <c r="AR1413" s="1114" t="s">
        <v>1012</v>
      </c>
      <c r="AS1413" s="121"/>
      <c r="AT1413" s="121"/>
      <c r="AU1413" s="121"/>
      <c r="AV1413" s="121"/>
      <c r="AW1413" s="121"/>
      <c r="AX1413" s="121"/>
      <c r="AY1413" s="121"/>
      <c r="AZ1413" s="121"/>
      <c r="BA1413" s="121"/>
      <c r="BB1413" s="121"/>
      <c r="BC1413" s="121"/>
      <c r="BD1413" s="121"/>
      <c r="BE1413" s="121"/>
      <c r="BF1413" s="121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21"/>
      <c r="BS1413" s="121"/>
      <c r="BT1413" s="121"/>
      <c r="BU1413" s="121"/>
      <c r="BV1413" s="121"/>
      <c r="BW1413" s="121"/>
      <c r="BX1413" s="121"/>
      <c r="BY1413" s="121"/>
      <c r="BZ1413" s="121"/>
      <c r="CA1413" s="121"/>
      <c r="CB1413" s="121"/>
      <c r="CC1413" s="121"/>
      <c r="CD1413" s="121"/>
      <c r="CE1413" s="121"/>
      <c r="CF1413" s="121"/>
      <c r="CG1413" s="121"/>
      <c r="CH1413" s="121"/>
    </row>
    <row r="1414" spans="1:86" s="122" customFormat="1" ht="84.2" customHeight="1" x14ac:dyDescent="0.2">
      <c r="A1414" s="150">
        <v>2</v>
      </c>
      <c r="B1414" s="932" t="s">
        <v>394</v>
      </c>
      <c r="C1414" s="940" t="s">
        <v>446</v>
      </c>
      <c r="D1414" s="984">
        <v>0.73</v>
      </c>
      <c r="E1414" s="986">
        <v>6650</v>
      </c>
      <c r="F1414" s="984">
        <v>0.73</v>
      </c>
      <c r="G1414" s="986">
        <v>6650</v>
      </c>
      <c r="H1414" s="876" t="s">
        <v>1120</v>
      </c>
      <c r="I1414" s="876"/>
      <c r="J1414" s="1114" t="s">
        <v>1358</v>
      </c>
      <c r="K1414" s="128">
        <v>0.17799999999999999</v>
      </c>
      <c r="L1414" s="967" t="s">
        <v>2</v>
      </c>
      <c r="M1414" s="2574">
        <v>391.28778</v>
      </c>
      <c r="N1414" s="153"/>
      <c r="O1414" s="153"/>
      <c r="P1414" s="153"/>
      <c r="Q1414" s="153"/>
      <c r="R1414" s="153"/>
      <c r="S1414" s="207"/>
      <c r="T1414" s="153"/>
      <c r="U1414" s="153"/>
      <c r="V1414" s="153"/>
      <c r="W1414" s="91"/>
      <c r="X1414" s="92"/>
      <c r="Y1414" s="155"/>
      <c r="Z1414" s="153"/>
      <c r="AA1414" s="153"/>
      <c r="AB1414" s="153"/>
      <c r="AC1414" s="153"/>
      <c r="AD1414" s="153"/>
      <c r="AE1414" s="153"/>
      <c r="AF1414" s="153"/>
      <c r="AG1414" s="153"/>
      <c r="AH1414" s="153"/>
      <c r="AI1414" s="153"/>
      <c r="AJ1414" s="153"/>
      <c r="AK1414" s="153"/>
      <c r="AL1414" s="1019"/>
      <c r="AM1414" s="1019"/>
      <c r="AN1414" s="1052"/>
      <c r="AO1414" s="911"/>
      <c r="AP1414" s="911"/>
      <c r="AQ1414" s="1035"/>
      <c r="AR1414" s="1114" t="s">
        <v>1014</v>
      </c>
      <c r="AS1414" s="121"/>
      <c r="AT1414" s="121"/>
      <c r="AU1414" s="121"/>
      <c r="AV1414" s="121"/>
      <c r="AW1414" s="121"/>
      <c r="AX1414" s="121"/>
      <c r="AY1414" s="121"/>
      <c r="AZ1414" s="121"/>
      <c r="BA1414" s="121"/>
      <c r="BB1414" s="121"/>
      <c r="BC1414" s="121"/>
      <c r="BD1414" s="121"/>
      <c r="BE1414" s="121"/>
      <c r="BF1414" s="121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21"/>
      <c r="BS1414" s="121"/>
      <c r="BT1414" s="121"/>
      <c r="BU1414" s="121"/>
      <c r="BV1414" s="121"/>
      <c r="BW1414" s="121"/>
      <c r="BX1414" s="121"/>
      <c r="BY1414" s="121"/>
      <c r="BZ1414" s="121"/>
      <c r="CA1414" s="121"/>
      <c r="CB1414" s="121"/>
      <c r="CC1414" s="121"/>
      <c r="CD1414" s="121"/>
      <c r="CE1414" s="121"/>
      <c r="CF1414" s="121"/>
      <c r="CG1414" s="121"/>
      <c r="CH1414" s="121"/>
    </row>
    <row r="1415" spans="1:86" s="122" customFormat="1" ht="69.400000000000006" customHeight="1" x14ac:dyDescent="0.2">
      <c r="A1415" s="150">
        <v>3</v>
      </c>
      <c r="B1415" s="1350" t="s">
        <v>397</v>
      </c>
      <c r="C1415" s="1343" t="s">
        <v>448</v>
      </c>
      <c r="D1415" s="1472">
        <v>1.395</v>
      </c>
      <c r="E1415" s="1470">
        <v>12402</v>
      </c>
      <c r="F1415" s="1472">
        <v>1.395</v>
      </c>
      <c r="G1415" s="1470">
        <v>12402</v>
      </c>
      <c r="H1415" s="1332" t="s">
        <v>1086</v>
      </c>
      <c r="I1415" s="1332" t="s">
        <v>1029</v>
      </c>
      <c r="J1415" s="1961" t="s">
        <v>1358</v>
      </c>
      <c r="K1415" s="128">
        <v>0.35599999999999998</v>
      </c>
      <c r="L1415" s="967" t="s">
        <v>2</v>
      </c>
      <c r="M1415" s="2575">
        <v>826.71226999999999</v>
      </c>
      <c r="N1415" s="153"/>
      <c r="O1415" s="153"/>
      <c r="P1415" s="153"/>
      <c r="Q1415" s="153"/>
      <c r="R1415" s="153"/>
      <c r="S1415" s="207"/>
      <c r="T1415" s="153"/>
      <c r="U1415" s="153"/>
      <c r="V1415" s="153"/>
      <c r="W1415" s="91"/>
      <c r="X1415" s="92"/>
      <c r="Y1415" s="155"/>
      <c r="Z1415" s="153"/>
      <c r="AA1415" s="153"/>
      <c r="AB1415" s="153"/>
      <c r="AC1415" s="153"/>
      <c r="AD1415" s="153"/>
      <c r="AE1415" s="153"/>
      <c r="AF1415" s="153"/>
      <c r="AG1415" s="153"/>
      <c r="AH1415" s="153"/>
      <c r="AI1415" s="153"/>
      <c r="AJ1415" s="153"/>
      <c r="AK1415" s="153"/>
      <c r="AL1415" s="1019"/>
      <c r="AM1415" s="1019"/>
      <c r="AN1415" s="1052"/>
      <c r="AO1415" s="911"/>
      <c r="AP1415" s="911"/>
      <c r="AQ1415" s="1035"/>
      <c r="AR1415" s="1774" t="s">
        <v>1028</v>
      </c>
      <c r="AS1415" s="121"/>
      <c r="AT1415" s="121"/>
      <c r="AU1415" s="121"/>
      <c r="AV1415" s="121"/>
      <c r="AW1415" s="121"/>
      <c r="AX1415" s="121"/>
      <c r="AY1415" s="121"/>
      <c r="AZ1415" s="121"/>
      <c r="BA1415" s="121"/>
      <c r="BB1415" s="121"/>
      <c r="BC1415" s="121"/>
      <c r="BD1415" s="121"/>
      <c r="BE1415" s="121"/>
      <c r="BF1415" s="121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21"/>
      <c r="BS1415" s="121"/>
      <c r="BT1415" s="121"/>
      <c r="BU1415" s="121"/>
      <c r="BV1415" s="121"/>
      <c r="BW1415" s="121"/>
      <c r="BX1415" s="121"/>
      <c r="BY1415" s="121"/>
      <c r="BZ1415" s="121"/>
      <c r="CA1415" s="121"/>
      <c r="CB1415" s="121"/>
      <c r="CC1415" s="121"/>
      <c r="CD1415" s="121"/>
      <c r="CE1415" s="121"/>
      <c r="CF1415" s="121"/>
      <c r="CG1415" s="121"/>
      <c r="CH1415" s="121"/>
    </row>
    <row r="1416" spans="1:86" s="122" customFormat="1" ht="91.9" customHeight="1" x14ac:dyDescent="0.2">
      <c r="A1416" s="150"/>
      <c r="B1416" s="1297"/>
      <c r="C1416" s="1273"/>
      <c r="D1416" s="1473"/>
      <c r="E1416" s="1471"/>
      <c r="F1416" s="1473"/>
      <c r="G1416" s="1471"/>
      <c r="H1416" s="1235"/>
      <c r="I1416" s="1235"/>
      <c r="J1416" s="1962"/>
      <c r="K1416" s="57">
        <v>1</v>
      </c>
      <c r="L1416" s="967" t="s">
        <v>1013</v>
      </c>
      <c r="M1416" s="1226"/>
      <c r="N1416" s="153"/>
      <c r="O1416" s="153"/>
      <c r="P1416" s="153"/>
      <c r="Q1416" s="153"/>
      <c r="R1416" s="153"/>
      <c r="S1416" s="153"/>
      <c r="T1416" s="153"/>
      <c r="U1416" s="153"/>
      <c r="V1416" s="153"/>
      <c r="W1416" s="91"/>
      <c r="X1416" s="92"/>
      <c r="Y1416" s="155"/>
      <c r="Z1416" s="153"/>
      <c r="AA1416" s="153"/>
      <c r="AB1416" s="153"/>
      <c r="AC1416" s="153"/>
      <c r="AD1416" s="153"/>
      <c r="AE1416" s="153"/>
      <c r="AF1416" s="153"/>
      <c r="AG1416" s="153"/>
      <c r="AH1416" s="153"/>
      <c r="AI1416" s="153"/>
      <c r="AJ1416" s="153"/>
      <c r="AK1416" s="153"/>
      <c r="AL1416" s="1019"/>
      <c r="AM1416" s="1019"/>
      <c r="AN1416" s="1052"/>
      <c r="AO1416" s="911"/>
      <c r="AP1416" s="911"/>
      <c r="AQ1416" s="1035"/>
      <c r="AR1416" s="1213"/>
      <c r="AS1416" s="121"/>
      <c r="AT1416" s="121"/>
      <c r="AU1416" s="121"/>
      <c r="AV1416" s="121"/>
      <c r="AW1416" s="121"/>
      <c r="AX1416" s="121"/>
      <c r="AY1416" s="121"/>
      <c r="AZ1416" s="121"/>
      <c r="BA1416" s="121"/>
      <c r="BB1416" s="121"/>
      <c r="BC1416" s="121"/>
      <c r="BD1416" s="121"/>
      <c r="BE1416" s="121"/>
      <c r="BF1416" s="121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21"/>
      <c r="BS1416" s="121"/>
      <c r="BT1416" s="121"/>
      <c r="BU1416" s="121"/>
      <c r="BV1416" s="121"/>
      <c r="BW1416" s="121"/>
      <c r="BX1416" s="121"/>
      <c r="BY1416" s="121"/>
      <c r="BZ1416" s="121"/>
      <c r="CA1416" s="121"/>
      <c r="CB1416" s="121"/>
      <c r="CC1416" s="121"/>
      <c r="CD1416" s="121"/>
      <c r="CE1416" s="121"/>
      <c r="CF1416" s="121"/>
      <c r="CG1416" s="121"/>
      <c r="CH1416" s="121"/>
    </row>
    <row r="1417" spans="1:86" s="122" customFormat="1" ht="54.6" customHeight="1" x14ac:dyDescent="0.2">
      <c r="A1417" s="150">
        <v>4</v>
      </c>
      <c r="B1417" s="156" t="s">
        <v>295</v>
      </c>
      <c r="C1417" s="919" t="s">
        <v>72</v>
      </c>
      <c r="D1417" s="975">
        <v>1.1180000000000001</v>
      </c>
      <c r="E1417" s="1139">
        <v>34656.800000000003</v>
      </c>
      <c r="F1417" s="975">
        <v>1.1180000000000001</v>
      </c>
      <c r="G1417" s="1139">
        <v>34656.800000000003</v>
      </c>
      <c r="H1417" s="876" t="s">
        <v>1121</v>
      </c>
      <c r="I1417" s="876"/>
      <c r="J1417" s="1114" t="s">
        <v>1022</v>
      </c>
      <c r="K1417" s="401">
        <v>1</v>
      </c>
      <c r="L1417" s="967" t="s">
        <v>1013</v>
      </c>
      <c r="M1417" s="402">
        <v>60.084000000000003</v>
      </c>
      <c r="N1417" s="153"/>
      <c r="O1417" s="153"/>
      <c r="P1417" s="153"/>
      <c r="Q1417" s="153"/>
      <c r="R1417" s="153"/>
      <c r="S1417" s="153"/>
      <c r="T1417" s="153"/>
      <c r="U1417" s="153"/>
      <c r="V1417" s="153"/>
      <c r="W1417" s="91"/>
      <c r="X1417" s="92"/>
      <c r="Y1417" s="155"/>
      <c r="Z1417" s="153"/>
      <c r="AA1417" s="153"/>
      <c r="AB1417" s="153"/>
      <c r="AC1417" s="153"/>
      <c r="AD1417" s="153"/>
      <c r="AE1417" s="153"/>
      <c r="AF1417" s="153"/>
      <c r="AG1417" s="153"/>
      <c r="AH1417" s="153"/>
      <c r="AI1417" s="153"/>
      <c r="AJ1417" s="153"/>
      <c r="AK1417" s="153"/>
      <c r="AL1417" s="1019"/>
      <c r="AM1417" s="1019"/>
      <c r="AN1417" s="1052"/>
      <c r="AO1417" s="911"/>
      <c r="AP1417" s="911"/>
      <c r="AQ1417" s="1035"/>
      <c r="AR1417" s="1012" t="s">
        <v>1357</v>
      </c>
      <c r="AS1417" s="121"/>
      <c r="AT1417" s="121"/>
      <c r="AU1417" s="121"/>
      <c r="AV1417" s="121"/>
      <c r="AW1417" s="121"/>
      <c r="AX1417" s="121"/>
      <c r="AY1417" s="121"/>
      <c r="AZ1417" s="121"/>
      <c r="BA1417" s="121"/>
      <c r="BB1417" s="121"/>
      <c r="BC1417" s="121"/>
      <c r="BD1417" s="121"/>
      <c r="BE1417" s="121"/>
      <c r="BF1417" s="121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21"/>
      <c r="BS1417" s="121"/>
      <c r="BT1417" s="121"/>
      <c r="BU1417" s="121"/>
      <c r="BV1417" s="121"/>
      <c r="BW1417" s="121"/>
      <c r="BX1417" s="121"/>
      <c r="BY1417" s="121"/>
      <c r="BZ1417" s="121"/>
      <c r="CA1417" s="121"/>
      <c r="CB1417" s="121"/>
      <c r="CC1417" s="121"/>
      <c r="CD1417" s="121"/>
      <c r="CE1417" s="121"/>
      <c r="CF1417" s="121"/>
      <c r="CG1417" s="121"/>
      <c r="CH1417" s="121"/>
    </row>
    <row r="1418" spans="1:86" s="122" customFormat="1" ht="63" customHeight="1" x14ac:dyDescent="0.2">
      <c r="A1418" s="150">
        <v>5</v>
      </c>
      <c r="B1418" s="131" t="s">
        <v>297</v>
      </c>
      <c r="C1418" s="919" t="s">
        <v>1015</v>
      </c>
      <c r="D1418" s="975">
        <v>0.93200000000000005</v>
      </c>
      <c r="E1418" s="1139">
        <v>5115</v>
      </c>
      <c r="F1418" s="975">
        <v>0.9</v>
      </c>
      <c r="G1418" s="1139">
        <v>5115</v>
      </c>
      <c r="H1418" s="876" t="s">
        <v>1122</v>
      </c>
      <c r="I1418" s="876"/>
      <c r="J1418" s="1114" t="s">
        <v>1022</v>
      </c>
      <c r="K1418" s="401">
        <v>1</v>
      </c>
      <c r="L1418" s="967" t="s">
        <v>1013</v>
      </c>
      <c r="M1418" s="402">
        <v>40.055999999999997</v>
      </c>
      <c r="N1418" s="153"/>
      <c r="O1418" s="153"/>
      <c r="P1418" s="153"/>
      <c r="Q1418" s="153"/>
      <c r="R1418" s="153"/>
      <c r="S1418" s="153"/>
      <c r="T1418" s="153"/>
      <c r="U1418" s="153"/>
      <c r="V1418" s="153"/>
      <c r="W1418" s="91"/>
      <c r="X1418" s="92"/>
      <c r="Y1418" s="155"/>
      <c r="Z1418" s="153"/>
      <c r="AA1418" s="153"/>
      <c r="AB1418" s="153"/>
      <c r="AC1418" s="153"/>
      <c r="AD1418" s="153"/>
      <c r="AE1418" s="153"/>
      <c r="AF1418" s="153"/>
      <c r="AG1418" s="153"/>
      <c r="AH1418" s="153"/>
      <c r="AI1418" s="153"/>
      <c r="AJ1418" s="153"/>
      <c r="AK1418" s="153"/>
      <c r="AL1418" s="1019"/>
      <c r="AM1418" s="1019"/>
      <c r="AN1418" s="1052"/>
      <c r="AO1418" s="911"/>
      <c r="AP1418" s="911"/>
      <c r="AQ1418" s="1035"/>
      <c r="AR1418" s="1012" t="s">
        <v>1357</v>
      </c>
      <c r="AS1418" s="121"/>
      <c r="AT1418" s="121"/>
      <c r="AU1418" s="121"/>
      <c r="AV1418" s="121"/>
      <c r="AW1418" s="121"/>
      <c r="AX1418" s="121"/>
      <c r="AY1418" s="121"/>
      <c r="AZ1418" s="121"/>
      <c r="BA1418" s="121"/>
      <c r="BB1418" s="121"/>
      <c r="BC1418" s="121"/>
      <c r="BD1418" s="121"/>
      <c r="BE1418" s="121"/>
      <c r="BF1418" s="121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21"/>
      <c r="BS1418" s="121"/>
      <c r="BT1418" s="121"/>
      <c r="BU1418" s="121"/>
      <c r="BV1418" s="121"/>
      <c r="BW1418" s="121"/>
      <c r="BX1418" s="121"/>
      <c r="BY1418" s="121"/>
      <c r="BZ1418" s="121"/>
      <c r="CA1418" s="121"/>
      <c r="CB1418" s="121"/>
      <c r="CC1418" s="121"/>
      <c r="CD1418" s="121"/>
      <c r="CE1418" s="121"/>
      <c r="CF1418" s="121"/>
      <c r="CG1418" s="121"/>
      <c r="CH1418" s="121"/>
    </row>
    <row r="1419" spans="1:86" s="122" customFormat="1" ht="53.65" customHeight="1" x14ac:dyDescent="0.2">
      <c r="A1419" s="150">
        <v>6</v>
      </c>
      <c r="B1419" s="131" t="s">
        <v>298</v>
      </c>
      <c r="C1419" s="919" t="s">
        <v>490</v>
      </c>
      <c r="D1419" s="975">
        <v>0.57199999999999995</v>
      </c>
      <c r="E1419" s="1139">
        <v>7378.8</v>
      </c>
      <c r="F1419" s="975">
        <v>0.57199999999999995</v>
      </c>
      <c r="G1419" s="1139">
        <v>7378.8</v>
      </c>
      <c r="H1419" s="876" t="s">
        <v>1123</v>
      </c>
      <c r="I1419" s="876"/>
      <c r="J1419" s="1114" t="s">
        <v>1022</v>
      </c>
      <c r="K1419" s="401">
        <v>1</v>
      </c>
      <c r="L1419" s="967" t="s">
        <v>1013</v>
      </c>
      <c r="M1419" s="402">
        <v>40.055999999999997</v>
      </c>
      <c r="N1419" s="153"/>
      <c r="O1419" s="153"/>
      <c r="P1419" s="153"/>
      <c r="Q1419" s="153"/>
      <c r="R1419" s="153"/>
      <c r="S1419" s="153"/>
      <c r="T1419" s="153"/>
      <c r="U1419" s="153"/>
      <c r="V1419" s="153"/>
      <c r="W1419" s="91"/>
      <c r="X1419" s="92"/>
      <c r="Y1419" s="155"/>
      <c r="Z1419" s="153"/>
      <c r="AA1419" s="153"/>
      <c r="AB1419" s="153"/>
      <c r="AC1419" s="153"/>
      <c r="AD1419" s="153"/>
      <c r="AE1419" s="153"/>
      <c r="AF1419" s="153"/>
      <c r="AG1419" s="153"/>
      <c r="AH1419" s="153"/>
      <c r="AI1419" s="153"/>
      <c r="AJ1419" s="153"/>
      <c r="AK1419" s="153"/>
      <c r="AL1419" s="1019"/>
      <c r="AM1419" s="1019"/>
      <c r="AN1419" s="1052"/>
      <c r="AO1419" s="911"/>
      <c r="AP1419" s="911"/>
      <c r="AQ1419" s="1035"/>
      <c r="AR1419" s="1012" t="s">
        <v>1357</v>
      </c>
      <c r="AS1419" s="121"/>
      <c r="AT1419" s="121"/>
      <c r="AU1419" s="121"/>
      <c r="AV1419" s="121"/>
      <c r="AW1419" s="121"/>
      <c r="AX1419" s="121"/>
      <c r="AY1419" s="121"/>
      <c r="AZ1419" s="121"/>
      <c r="BA1419" s="121"/>
      <c r="BB1419" s="121"/>
      <c r="BC1419" s="121"/>
      <c r="BD1419" s="121"/>
      <c r="BE1419" s="121"/>
      <c r="BF1419" s="121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21"/>
      <c r="BS1419" s="121"/>
      <c r="BT1419" s="121"/>
      <c r="BU1419" s="121"/>
      <c r="BV1419" s="121"/>
      <c r="BW1419" s="121"/>
      <c r="BX1419" s="121"/>
      <c r="BY1419" s="121"/>
      <c r="BZ1419" s="121"/>
      <c r="CA1419" s="121"/>
      <c r="CB1419" s="121"/>
      <c r="CC1419" s="121"/>
      <c r="CD1419" s="121"/>
      <c r="CE1419" s="121"/>
      <c r="CF1419" s="121"/>
      <c r="CG1419" s="121"/>
      <c r="CH1419" s="121"/>
    </row>
    <row r="1420" spans="1:86" s="122" customFormat="1" ht="121.5" customHeight="1" x14ac:dyDescent="0.2">
      <c r="A1420" s="150">
        <v>7</v>
      </c>
      <c r="B1420" s="131" t="s">
        <v>299</v>
      </c>
      <c r="C1420" s="919" t="s">
        <v>75</v>
      </c>
      <c r="D1420" s="975">
        <v>0.36099999999999999</v>
      </c>
      <c r="E1420" s="1139">
        <v>4031</v>
      </c>
      <c r="F1420" s="975">
        <v>0.36099999999999999</v>
      </c>
      <c r="G1420" s="1139">
        <v>4031</v>
      </c>
      <c r="H1420" s="876" t="s">
        <v>1374</v>
      </c>
      <c r="I1420" s="876" t="s">
        <v>1375</v>
      </c>
      <c r="J1420" s="1109" t="s">
        <v>1358</v>
      </c>
      <c r="K1420" s="182">
        <v>0.2</v>
      </c>
      <c r="L1420" s="967" t="s">
        <v>2</v>
      </c>
      <c r="M1420" s="402">
        <v>438.33452</v>
      </c>
      <c r="N1420" s="153"/>
      <c r="O1420" s="153"/>
      <c r="P1420" s="153"/>
      <c r="Q1420" s="153"/>
      <c r="R1420" s="153"/>
      <c r="S1420" s="153"/>
      <c r="T1420" s="153"/>
      <c r="U1420" s="153"/>
      <c r="V1420" s="153"/>
      <c r="W1420" s="91"/>
      <c r="X1420" s="92"/>
      <c r="Y1420" s="155"/>
      <c r="Z1420" s="153"/>
      <c r="AA1420" s="153"/>
      <c r="AB1420" s="153"/>
      <c r="AC1420" s="153"/>
      <c r="AD1420" s="153"/>
      <c r="AE1420" s="153"/>
      <c r="AF1420" s="153"/>
      <c r="AG1420" s="153"/>
      <c r="AH1420" s="153"/>
      <c r="AI1420" s="153"/>
      <c r="AJ1420" s="153"/>
      <c r="AK1420" s="153"/>
      <c r="AL1420" s="1019"/>
      <c r="AM1420" s="1019"/>
      <c r="AN1420" s="1052"/>
      <c r="AO1420" s="911"/>
      <c r="AP1420" s="911"/>
      <c r="AQ1420" s="1035"/>
      <c r="AR1420" s="1012" t="s">
        <v>1360</v>
      </c>
      <c r="AS1420" s="121"/>
      <c r="AT1420" s="121"/>
      <c r="AU1420" s="121"/>
      <c r="AV1420" s="121"/>
      <c r="AW1420" s="121"/>
      <c r="AX1420" s="121"/>
      <c r="AY1420" s="121"/>
      <c r="AZ1420" s="121"/>
      <c r="BA1420" s="121"/>
      <c r="BB1420" s="121"/>
      <c r="BC1420" s="121"/>
      <c r="BD1420" s="121"/>
      <c r="BE1420" s="121"/>
      <c r="BF1420" s="121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21"/>
      <c r="BS1420" s="121"/>
      <c r="BT1420" s="121"/>
      <c r="BU1420" s="121"/>
      <c r="BV1420" s="121"/>
      <c r="BW1420" s="121"/>
      <c r="BX1420" s="121"/>
      <c r="BY1420" s="121"/>
      <c r="BZ1420" s="121"/>
      <c r="CA1420" s="121"/>
      <c r="CB1420" s="121"/>
      <c r="CC1420" s="121"/>
      <c r="CD1420" s="121"/>
      <c r="CE1420" s="121"/>
      <c r="CF1420" s="121"/>
      <c r="CG1420" s="121"/>
      <c r="CH1420" s="121"/>
    </row>
    <row r="1421" spans="1:86" s="122" customFormat="1" ht="99" customHeight="1" x14ac:dyDescent="0.2">
      <c r="A1421" s="150">
        <v>8</v>
      </c>
      <c r="B1421" s="1172" t="s">
        <v>293</v>
      </c>
      <c r="C1421" s="919" t="s">
        <v>70</v>
      </c>
      <c r="D1421" s="985">
        <v>6.63</v>
      </c>
      <c r="E1421" s="987">
        <v>97914</v>
      </c>
      <c r="F1421" s="985">
        <v>6.63</v>
      </c>
      <c r="G1421" s="987">
        <v>97914</v>
      </c>
      <c r="H1421" s="876" t="s">
        <v>1376</v>
      </c>
      <c r="I1421" s="876" t="s">
        <v>1376</v>
      </c>
      <c r="J1421" s="1114" t="s">
        <v>1358</v>
      </c>
      <c r="K1421" s="401">
        <v>1</v>
      </c>
      <c r="L1421" s="967" t="s">
        <v>1013</v>
      </c>
      <c r="M1421" s="402">
        <v>143.87299999999999</v>
      </c>
      <c r="N1421" s="153"/>
      <c r="O1421" s="153"/>
      <c r="P1421" s="153"/>
      <c r="Q1421" s="153"/>
      <c r="R1421" s="153"/>
      <c r="S1421" s="153"/>
      <c r="T1421" s="153"/>
      <c r="U1421" s="153"/>
      <c r="V1421" s="153"/>
      <c r="W1421" s="91"/>
      <c r="X1421" s="92"/>
      <c r="Y1421" s="155"/>
      <c r="Z1421" s="153"/>
      <c r="AA1421" s="153"/>
      <c r="AB1421" s="153"/>
      <c r="AC1421" s="153"/>
      <c r="AD1421" s="153"/>
      <c r="AE1421" s="153"/>
      <c r="AF1421" s="153"/>
      <c r="AG1421" s="153"/>
      <c r="AH1421" s="153"/>
      <c r="AI1421" s="153"/>
      <c r="AJ1421" s="153"/>
      <c r="AK1421" s="153"/>
      <c r="AL1421" s="1019"/>
      <c r="AM1421" s="1019"/>
      <c r="AN1421" s="1052"/>
      <c r="AO1421" s="911"/>
      <c r="AP1421" s="911"/>
      <c r="AQ1421" s="1035"/>
      <c r="AR1421" s="1012" t="s">
        <v>1361</v>
      </c>
      <c r="AS1421" s="121"/>
      <c r="AT1421" s="121"/>
      <c r="AU1421" s="121"/>
      <c r="AV1421" s="121"/>
      <c r="AW1421" s="121"/>
      <c r="AX1421" s="121"/>
      <c r="AY1421" s="121"/>
      <c r="AZ1421" s="121"/>
      <c r="BA1421" s="121"/>
      <c r="BB1421" s="121"/>
      <c r="BC1421" s="121"/>
      <c r="BD1421" s="121"/>
      <c r="BE1421" s="121"/>
      <c r="BF1421" s="121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21"/>
      <c r="BS1421" s="121"/>
      <c r="BT1421" s="121"/>
      <c r="BU1421" s="121"/>
      <c r="BV1421" s="121"/>
      <c r="BW1421" s="121"/>
      <c r="BX1421" s="121"/>
      <c r="BY1421" s="121"/>
      <c r="BZ1421" s="121"/>
      <c r="CA1421" s="121"/>
      <c r="CB1421" s="121"/>
      <c r="CC1421" s="121"/>
      <c r="CD1421" s="121"/>
      <c r="CE1421" s="121"/>
      <c r="CF1421" s="121"/>
      <c r="CG1421" s="121"/>
      <c r="CH1421" s="121"/>
    </row>
    <row r="1422" spans="1:86" s="122" customFormat="1" ht="86.85" customHeight="1" x14ac:dyDescent="0.2">
      <c r="A1422" s="150">
        <v>9</v>
      </c>
      <c r="B1422" s="131" t="s">
        <v>301</v>
      </c>
      <c r="C1422" s="919" t="s">
        <v>77</v>
      </c>
      <c r="D1422" s="975">
        <v>0.41099999999999998</v>
      </c>
      <c r="E1422" s="1139">
        <v>2520</v>
      </c>
      <c r="F1422" s="975">
        <v>0.41099999999999998</v>
      </c>
      <c r="G1422" s="1139">
        <v>2520</v>
      </c>
      <c r="H1422" s="175" t="s">
        <v>1124</v>
      </c>
      <c r="I1422" s="175"/>
      <c r="J1422" s="213" t="s">
        <v>1358</v>
      </c>
      <c r="K1422" s="182">
        <v>0.2</v>
      </c>
      <c r="L1422" s="967" t="s">
        <v>2</v>
      </c>
      <c r="M1422" s="923">
        <v>437.57319999999999</v>
      </c>
      <c r="N1422" s="153"/>
      <c r="O1422" s="153"/>
      <c r="P1422" s="153"/>
      <c r="Q1422" s="153"/>
      <c r="R1422" s="153"/>
      <c r="S1422" s="153"/>
      <c r="T1422" s="153"/>
      <c r="U1422" s="153"/>
      <c r="V1422" s="153"/>
      <c r="W1422" s="91"/>
      <c r="X1422" s="92"/>
      <c r="Y1422" s="155"/>
      <c r="Z1422" s="153"/>
      <c r="AA1422" s="153"/>
      <c r="AB1422" s="153"/>
      <c r="AC1422" s="153"/>
      <c r="AD1422" s="153"/>
      <c r="AE1422" s="153"/>
      <c r="AF1422" s="153"/>
      <c r="AG1422" s="153"/>
      <c r="AH1422" s="153"/>
      <c r="AI1422" s="153"/>
      <c r="AJ1422" s="153"/>
      <c r="AK1422" s="153"/>
      <c r="AL1422" s="1019"/>
      <c r="AM1422" s="1019"/>
      <c r="AN1422" s="1052"/>
      <c r="AO1422" s="911"/>
      <c r="AP1422" s="911"/>
      <c r="AQ1422" s="1035"/>
      <c r="AR1422" s="1012" t="s">
        <v>1030</v>
      </c>
      <c r="AS1422" s="121"/>
      <c r="AT1422" s="121"/>
      <c r="AU1422" s="121"/>
      <c r="AV1422" s="121"/>
      <c r="AW1422" s="121"/>
      <c r="AX1422" s="121"/>
      <c r="AY1422" s="121"/>
      <c r="AZ1422" s="121"/>
      <c r="BA1422" s="121"/>
      <c r="BB1422" s="121"/>
      <c r="BC1422" s="121"/>
      <c r="BD1422" s="121"/>
      <c r="BE1422" s="121"/>
      <c r="BF1422" s="121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21"/>
      <c r="BS1422" s="121"/>
      <c r="BT1422" s="121"/>
      <c r="BU1422" s="121"/>
      <c r="BV1422" s="121"/>
      <c r="BW1422" s="121"/>
      <c r="BX1422" s="121"/>
      <c r="BY1422" s="121"/>
      <c r="BZ1422" s="121"/>
      <c r="CA1422" s="121"/>
      <c r="CB1422" s="121"/>
      <c r="CC1422" s="121"/>
      <c r="CD1422" s="121"/>
      <c r="CE1422" s="121"/>
      <c r="CF1422" s="121"/>
      <c r="CG1422" s="121"/>
      <c r="CH1422" s="121"/>
    </row>
    <row r="1423" spans="1:86" s="40" customFormat="1" ht="47.65" customHeight="1" x14ac:dyDescent="0.25">
      <c r="A1423" s="1947" t="s">
        <v>16</v>
      </c>
      <c r="B1423" s="1948"/>
      <c r="C1423" s="1949"/>
      <c r="D1423" s="99"/>
      <c r="E1423" s="99"/>
      <c r="F1423" s="99"/>
      <c r="G1423" s="99"/>
      <c r="H1423" s="99"/>
      <c r="I1423" s="99"/>
      <c r="J1423" s="99"/>
      <c r="K1423" s="100">
        <f>K9+K441+K454+K484+K516+K1074</f>
        <v>72.462999999999994</v>
      </c>
      <c r="L1423" s="101"/>
      <c r="M1423" s="211">
        <f>M484+M9+M461+M453+M1087+M1081+M1075+M441+M14+M96</f>
        <v>1552076.0702600002</v>
      </c>
      <c r="N1423" s="99"/>
      <c r="O1423" s="99"/>
      <c r="P1423" s="99"/>
      <c r="Q1423" s="100">
        <f>Q484+Q9+Q1074+Q441</f>
        <v>43.361470000000004</v>
      </c>
      <c r="R1423" s="102"/>
      <c r="S1423" s="211">
        <f>S484+S461+S9+S441+S1074</f>
        <v>1518805.4857799995</v>
      </c>
      <c r="T1423" s="103"/>
      <c r="U1423" s="103"/>
      <c r="V1423" s="102"/>
      <c r="W1423" s="100">
        <f>W1427</f>
        <v>40.125800000000005</v>
      </c>
      <c r="X1423" s="102"/>
      <c r="Y1423" s="211">
        <f>Y484+Y9+Y461+Y1228+Y1074+Y794+Y845+Y1307</f>
        <v>547007.58629000012</v>
      </c>
      <c r="Z1423" s="102"/>
      <c r="AA1423" s="102"/>
      <c r="AB1423" s="102"/>
      <c r="AC1423" s="471">
        <f>AC1307+AC1228+AC1074+AC845+AC794+AC484+AC9</f>
        <v>55.332999999999998</v>
      </c>
      <c r="AD1423" s="102"/>
      <c r="AE1423" s="211">
        <f>AE1307+AE1228+AE1074+AE845+AE794+AE484+AE9</f>
        <v>690840.06938999996</v>
      </c>
      <c r="AF1423" s="102"/>
      <c r="AG1423" s="102"/>
      <c r="AH1423" s="102"/>
      <c r="AI1423" s="471">
        <f>AI1307+AI1228+AI1074+AI845+AI794+AI9+AI484</f>
        <v>48.745999999999995</v>
      </c>
      <c r="AJ1423" s="102"/>
      <c r="AK1423" s="211">
        <v>690000</v>
      </c>
      <c r="AL1423" s="102"/>
      <c r="AM1423" s="102"/>
      <c r="AN1423" s="102"/>
      <c r="AO1423" s="784">
        <f>AO1307+AO1228+AO1074+AO845+AO794+AO9+AO484</f>
        <v>43.91</v>
      </c>
      <c r="AP1423" s="102"/>
      <c r="AQ1423" s="784">
        <f>AQ1307+AQ1228+AQ1074+AQ845+AQ794+AQ9+AQ484</f>
        <v>690000.00000000012</v>
      </c>
      <c r="AR1423" s="100"/>
      <c r="AS1423" s="39"/>
      <c r="AT1423" s="39" t="e">
        <f>AQ1423/AO69\</f>
        <v>#NAME?</v>
      </c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9"/>
      <c r="BQ1423" s="39"/>
      <c r="BR1423" s="39"/>
      <c r="BS1423" s="39"/>
      <c r="BT1423" s="39"/>
      <c r="BU1423" s="39"/>
      <c r="BV1423" s="39"/>
      <c r="BW1423" s="39"/>
      <c r="BX1423" s="39"/>
      <c r="BY1423" s="39"/>
      <c r="BZ1423" s="39"/>
      <c r="CA1423" s="39"/>
      <c r="CB1423" s="39"/>
      <c r="CC1423" s="39"/>
      <c r="CD1423" s="39"/>
      <c r="CE1423" s="39"/>
      <c r="CF1423" s="39"/>
      <c r="CG1423" s="39"/>
      <c r="CH1423" s="39"/>
    </row>
    <row r="1424" spans="1:86" s="479" customFormat="1" ht="21.2" customHeight="1" x14ac:dyDescent="0.25">
      <c r="A1424" s="467"/>
      <c r="B1424" s="468"/>
      <c r="C1424" s="977" t="s">
        <v>1075</v>
      </c>
      <c r="D1424" s="469"/>
      <c r="E1424" s="469"/>
      <c r="F1424" s="469"/>
      <c r="G1424" s="469"/>
      <c r="H1424" s="469"/>
      <c r="I1424" s="470"/>
      <c r="J1424" s="464"/>
      <c r="K1424" s="471"/>
      <c r="L1424" s="472"/>
      <c r="M1424" s="1025"/>
      <c r="N1424" s="474"/>
      <c r="O1424" s="474"/>
      <c r="P1424" s="464"/>
      <c r="Q1424" s="471"/>
      <c r="R1424" s="475"/>
      <c r="S1424" s="473"/>
      <c r="T1424" s="476"/>
      <c r="U1424" s="476"/>
      <c r="V1424" s="477"/>
      <c r="W1424" s="471"/>
      <c r="X1424" s="475"/>
      <c r="Y1424" s="2509"/>
      <c r="Z1424" s="475"/>
      <c r="AA1424" s="475"/>
      <c r="AB1424" s="477"/>
      <c r="AC1424" s="471"/>
      <c r="AD1424" s="475"/>
      <c r="AE1424" s="473"/>
      <c r="AF1424" s="475"/>
      <c r="AG1424" s="475"/>
      <c r="AH1424" s="477"/>
      <c r="AI1424" s="471"/>
      <c r="AJ1424" s="475"/>
      <c r="AK1424" s="477"/>
      <c r="AL1424" s="475"/>
      <c r="AM1424" s="475"/>
      <c r="AN1424" s="477"/>
      <c r="AO1424" s="471"/>
      <c r="AP1424" s="475"/>
      <c r="AQ1424" s="477"/>
      <c r="AR1424" s="475"/>
      <c r="AS1424" s="478"/>
      <c r="AT1424" s="478"/>
      <c r="AU1424" s="478"/>
      <c r="AV1424" s="478"/>
      <c r="AW1424" s="478"/>
      <c r="AX1424" s="478"/>
      <c r="AY1424" s="478"/>
      <c r="AZ1424" s="478"/>
      <c r="BA1424" s="478"/>
      <c r="BB1424" s="478"/>
      <c r="BC1424" s="478"/>
      <c r="BD1424" s="478"/>
      <c r="BE1424" s="478"/>
      <c r="BF1424" s="478"/>
      <c r="BG1424" s="478"/>
      <c r="BH1424" s="478"/>
      <c r="BI1424" s="478"/>
      <c r="BJ1424" s="478"/>
      <c r="BK1424" s="478"/>
      <c r="BL1424" s="478"/>
      <c r="BM1424" s="478"/>
      <c r="BN1424" s="478"/>
      <c r="BO1424" s="478"/>
      <c r="BP1424" s="478"/>
      <c r="BQ1424" s="478"/>
      <c r="BR1424" s="478"/>
      <c r="BS1424" s="478"/>
      <c r="BT1424" s="478"/>
      <c r="BU1424" s="478"/>
      <c r="BV1424" s="478"/>
      <c r="BW1424" s="478"/>
      <c r="BX1424" s="478"/>
      <c r="BY1424" s="478"/>
      <c r="BZ1424" s="478"/>
      <c r="CA1424" s="478"/>
      <c r="CB1424" s="478"/>
      <c r="CC1424" s="478"/>
      <c r="CD1424" s="478"/>
      <c r="CE1424" s="478"/>
      <c r="CF1424" s="478"/>
      <c r="CG1424" s="478"/>
      <c r="CH1424" s="478"/>
    </row>
    <row r="1425" spans="1:86" s="479" customFormat="1" ht="41.85" customHeight="1" x14ac:dyDescent="0.25">
      <c r="A1425" s="467"/>
      <c r="B1425" s="468"/>
      <c r="C1425" s="1042" t="s">
        <v>1077</v>
      </c>
      <c r="D1425" s="469"/>
      <c r="E1425" s="469"/>
      <c r="F1425" s="469"/>
      <c r="G1425" s="469"/>
      <c r="H1425" s="469"/>
      <c r="I1425" s="470"/>
      <c r="J1425" s="464"/>
      <c r="K1425" s="471"/>
      <c r="L1425" s="472"/>
      <c r="M1425" s="979">
        <f>M1423-M1426</f>
        <v>860741.68518000015</v>
      </c>
      <c r="N1425" s="474"/>
      <c r="O1425" s="474"/>
      <c r="P1425" s="464"/>
      <c r="Q1425" s="471"/>
      <c r="R1425" s="475"/>
      <c r="S1425" s="646">
        <f>S1423-S1426</f>
        <v>1509199.9709099995</v>
      </c>
      <c r="T1425" s="575"/>
      <c r="U1425" s="476"/>
      <c r="V1425" s="477"/>
      <c r="W1425" s="471"/>
      <c r="X1425" s="475"/>
      <c r="Y1425" s="979">
        <f>Y1423-Y1426</f>
        <v>544000.61713000014</v>
      </c>
      <c r="Z1425" s="475"/>
      <c r="AA1425" s="475"/>
      <c r="AB1425" s="477"/>
      <c r="AC1425" s="471"/>
      <c r="AD1425" s="618"/>
      <c r="AE1425" s="1025">
        <f>AE1423-AE1426</f>
        <v>690000</v>
      </c>
      <c r="AF1425" s="489"/>
      <c r="AG1425" s="489"/>
      <c r="AH1425" s="488"/>
      <c r="AI1425" s="489"/>
      <c r="AJ1425" s="489"/>
      <c r="AK1425" s="1025">
        <f>AK1423</f>
        <v>690000</v>
      </c>
      <c r="AL1425" s="489"/>
      <c r="AM1425" s="489"/>
      <c r="AN1425" s="477"/>
      <c r="AO1425" s="471"/>
      <c r="AP1425" s="475"/>
      <c r="AQ1425" s="979">
        <f>AQ1423</f>
        <v>690000.00000000012</v>
      </c>
      <c r="AR1425" s="475"/>
      <c r="AS1425" s="478"/>
      <c r="AT1425" s="478"/>
      <c r="AU1425" s="478"/>
      <c r="AV1425" s="478"/>
      <c r="AW1425" s="478"/>
      <c r="AX1425" s="478"/>
      <c r="AY1425" s="478"/>
      <c r="AZ1425" s="478"/>
      <c r="BA1425" s="478"/>
      <c r="BB1425" s="478"/>
      <c r="BC1425" s="478"/>
      <c r="BD1425" s="478"/>
      <c r="BE1425" s="478"/>
      <c r="BF1425" s="478"/>
      <c r="BG1425" s="478"/>
      <c r="BH1425" s="478"/>
      <c r="BI1425" s="478"/>
      <c r="BJ1425" s="478"/>
      <c r="BK1425" s="478"/>
      <c r="BL1425" s="478"/>
      <c r="BM1425" s="478"/>
      <c r="BN1425" s="478"/>
      <c r="BO1425" s="478"/>
      <c r="BP1425" s="478"/>
      <c r="BQ1425" s="478"/>
      <c r="BR1425" s="478"/>
      <c r="BS1425" s="478"/>
      <c r="BT1425" s="478"/>
      <c r="BU1425" s="478"/>
      <c r="BV1425" s="478"/>
      <c r="BW1425" s="478"/>
      <c r="BX1425" s="478"/>
      <c r="BY1425" s="478"/>
      <c r="BZ1425" s="478"/>
      <c r="CA1425" s="478"/>
      <c r="CB1425" s="478"/>
      <c r="CC1425" s="478"/>
      <c r="CD1425" s="478"/>
      <c r="CE1425" s="478"/>
      <c r="CF1425" s="478"/>
      <c r="CG1425" s="478"/>
      <c r="CH1425" s="478"/>
    </row>
    <row r="1426" spans="1:86" s="479" customFormat="1" ht="23.1" customHeight="1" thickBot="1" x14ac:dyDescent="0.3">
      <c r="A1426" s="467"/>
      <c r="B1426" s="468"/>
      <c r="C1426" s="485" t="s">
        <v>1076</v>
      </c>
      <c r="D1426" s="469"/>
      <c r="E1426" s="469"/>
      <c r="F1426" s="469"/>
      <c r="G1426" s="469"/>
      <c r="H1426" s="469"/>
      <c r="I1426" s="470"/>
      <c r="J1426" s="464"/>
      <c r="K1426" s="471"/>
      <c r="L1426" s="472"/>
      <c r="M1426" s="979">
        <f>M1087+M1081+M1075+M441+M14+M96</f>
        <v>691334.38508000004</v>
      </c>
      <c r="N1426" s="474"/>
      <c r="O1426" s="474"/>
      <c r="P1426" s="464"/>
      <c r="Q1426" s="471"/>
      <c r="R1426" s="475"/>
      <c r="S1426" s="1025">
        <f>S464+S487</f>
        <v>9605.5148700000009</v>
      </c>
      <c r="T1426" s="575"/>
      <c r="U1426" s="476"/>
      <c r="V1426" s="477"/>
      <c r="W1426" s="471"/>
      <c r="X1426" s="475"/>
      <c r="Y1426" s="1025">
        <f>Y464+Y487</f>
        <v>3006.9691600000001</v>
      </c>
      <c r="Z1426" s="651"/>
      <c r="AA1426" s="475"/>
      <c r="AB1426" s="477"/>
      <c r="AC1426" s="471"/>
      <c r="AD1426" s="475"/>
      <c r="AE1426" s="1025">
        <f>AE464+AE487</f>
        <v>840.06939</v>
      </c>
      <c r="AF1426" s="475"/>
      <c r="AG1426" s="475"/>
      <c r="AH1426" s="477"/>
      <c r="AI1426" s="471"/>
      <c r="AJ1426" s="475"/>
      <c r="AK1426" s="477"/>
      <c r="AL1426" s="475"/>
      <c r="AM1426" s="475"/>
      <c r="AN1426" s="477"/>
      <c r="AO1426" s="471"/>
      <c r="AP1426" s="475"/>
      <c r="AQ1426" s="477"/>
      <c r="AR1426" s="475"/>
      <c r="AS1426" s="478"/>
      <c r="AT1426" s="478"/>
      <c r="AU1426" s="478"/>
      <c r="AV1426" s="478"/>
      <c r="AW1426" s="478"/>
      <c r="AX1426" s="478"/>
      <c r="AY1426" s="478"/>
      <c r="AZ1426" s="478"/>
      <c r="BA1426" s="478"/>
      <c r="BB1426" s="478"/>
      <c r="BC1426" s="478"/>
      <c r="BD1426" s="478"/>
      <c r="BE1426" s="478"/>
      <c r="BF1426" s="478"/>
      <c r="BG1426" s="478"/>
      <c r="BH1426" s="478"/>
      <c r="BI1426" s="478"/>
      <c r="BJ1426" s="478"/>
      <c r="BK1426" s="478"/>
      <c r="BL1426" s="478"/>
      <c r="BM1426" s="478"/>
      <c r="BN1426" s="478"/>
      <c r="BO1426" s="478"/>
      <c r="BP1426" s="478"/>
      <c r="BQ1426" s="478"/>
      <c r="BR1426" s="478"/>
      <c r="BS1426" s="478"/>
      <c r="BT1426" s="478"/>
      <c r="BU1426" s="478"/>
      <c r="BV1426" s="478"/>
      <c r="BW1426" s="478"/>
      <c r="BX1426" s="478"/>
      <c r="BY1426" s="478"/>
      <c r="BZ1426" s="478"/>
      <c r="CA1426" s="478"/>
      <c r="CB1426" s="478"/>
      <c r="CC1426" s="478"/>
      <c r="CD1426" s="478"/>
      <c r="CE1426" s="478"/>
      <c r="CF1426" s="478"/>
      <c r="CG1426" s="478"/>
      <c r="CH1426" s="478"/>
    </row>
    <row r="1427" spans="1:86" s="40" customFormat="1" ht="23.85" customHeight="1" x14ac:dyDescent="0.25">
      <c r="A1427" s="1320" t="s">
        <v>16</v>
      </c>
      <c r="B1427" s="1321"/>
      <c r="C1427" s="1321"/>
      <c r="D1427" s="1321"/>
      <c r="E1427" s="1321"/>
      <c r="F1427" s="1321"/>
      <c r="G1427" s="1321"/>
      <c r="H1427" s="1321"/>
      <c r="I1427" s="1322"/>
      <c r="J1427" s="1729" t="s">
        <v>5</v>
      </c>
      <c r="K1427" s="16">
        <f>K10+K19+K22+K26+K30+K32+K35+K38+K41+K43+K45+K49+K51+K53+K56+K58+K60+K62+K64+K67+K69+K71+K73+K75+K78+K85+K88+K90+K488+K502+K508+K514+K518+K520+K522+K524+K530+K532+K534+K536+K92+K1075+K1081+K1087</f>
        <v>71.580000000000013</v>
      </c>
      <c r="L1427" s="228" t="s">
        <v>2</v>
      </c>
      <c r="M1427" s="1806">
        <f>M13+M19+M22+M26+M30+M32+M35+M38+M41+M43+M45+M49+M51+M53+M56+M58+M60+M62+M64+M67+M69+M71+M73+M75+M78+M85+M88+M90+M95+M488+M502+M508+M514+M518+M520+M522+M524+M530+M532+M534+M536+11024.17072+M516+M1075+M1081+M1087+M14+M96</f>
        <v>1075858.8019400002</v>
      </c>
      <c r="N1427" s="194"/>
      <c r="O1427" s="228"/>
      <c r="P1427" s="1729" t="s">
        <v>5</v>
      </c>
      <c r="Q1427" s="16">
        <f>Q1074+Q484+Q9</f>
        <v>40.437899999999999</v>
      </c>
      <c r="R1427" s="228" t="s">
        <v>2</v>
      </c>
      <c r="S1427" s="1806">
        <f>S97+S102+S107+S111+S116+S123+S129+S137+S141+S145+S148+S152+S156+S160+S490+S510+S516+S526+S538+S541+S548+S559+S570+S573+S579+S495+S1093+S1096+S1099+S1102+S1104+S545+S164+S1107+S1110+S1113+31178.17028+2353.08801+23.88011</f>
        <v>1144577.3299200004</v>
      </c>
      <c r="T1427" s="194"/>
      <c r="U1427" s="228"/>
      <c r="V1427" s="1729" t="s">
        <v>5</v>
      </c>
      <c r="W1427" s="16">
        <f>W9+W484+W1074+W1228+W794+W845+W1307</f>
        <v>40.125800000000005</v>
      </c>
      <c r="X1427" s="228" t="s">
        <v>2</v>
      </c>
      <c r="Y1427" s="1806">
        <f>Y9+Y484+Y1074+Y1228+Y794+Y845+Y1307-Y174-Y177-Y180-Y181-Y188-Y506-Y554-Y557-Y565-Y568-Y569-Y600-Y601-Y617-Y618-Y621-Y622-Y851-Y852</f>
        <v>536463.95569000009</v>
      </c>
      <c r="Z1427" s="194"/>
      <c r="AA1427" s="228"/>
      <c r="AB1427" s="1729" t="s">
        <v>5</v>
      </c>
      <c r="AC1427" s="16">
        <f>AC137+AC182+AC184+AC213+AC215+AC321+AC609+AC615+AC623+AC803+AC805+AC811+AC817+AC821+AC829+AC853+AC861+AC864+AC870+AC888+AC949+AC952+AC1005+AC1051+AC1121+AC1123+AC1134+AC1197+AC1229+AC1239+AC1249+AC1255+AC1259+AC1265+AC1308+AC1310+AC1323+AC1362+AC1365+AC425+AC839+AC1326+AC1062+AC1312+AC1299+AC1267+AC1072+AC841+AC843+AC432+AC430+AC81</f>
        <v>55.333000000000006</v>
      </c>
      <c r="AD1427" s="228" t="s">
        <v>2</v>
      </c>
      <c r="AE1427" s="1806">
        <f>AE9+AE484+AE794+AE845+AE1074+AE1228+AE1307</f>
        <v>690840.06938999996</v>
      </c>
      <c r="AF1427" s="194"/>
      <c r="AG1427" s="228"/>
      <c r="AH1427" s="1729" t="s">
        <v>5</v>
      </c>
      <c r="AI1427" s="16">
        <f>AI1423</f>
        <v>48.745999999999995</v>
      </c>
      <c r="AJ1427" s="228" t="s">
        <v>2</v>
      </c>
      <c r="AK1427" s="1806">
        <f>AK1423</f>
        <v>690000</v>
      </c>
      <c r="AL1427" s="194"/>
      <c r="AM1427" s="228"/>
      <c r="AN1427" s="1729" t="s">
        <v>5</v>
      </c>
      <c r="AO1427" s="16">
        <f>AO1423</f>
        <v>43.91</v>
      </c>
      <c r="AP1427" s="228" t="s">
        <v>2</v>
      </c>
      <c r="AQ1427" s="1806">
        <f>AQ1423</f>
        <v>690000.00000000012</v>
      </c>
      <c r="AR1427" s="194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9"/>
      <c r="BQ1427" s="39"/>
      <c r="BR1427" s="39"/>
      <c r="BS1427" s="39"/>
      <c r="BT1427" s="39"/>
      <c r="BU1427" s="39"/>
      <c r="BV1427" s="39"/>
      <c r="BW1427" s="39"/>
      <c r="BX1427" s="39"/>
      <c r="BY1427" s="39"/>
      <c r="BZ1427" s="39"/>
      <c r="CA1427" s="39"/>
      <c r="CB1427" s="39"/>
      <c r="CC1427" s="39"/>
      <c r="CD1427" s="39"/>
      <c r="CE1427" s="39"/>
      <c r="CF1427" s="39"/>
      <c r="CG1427" s="39"/>
      <c r="CH1427" s="39"/>
    </row>
    <row r="1428" spans="1:86" s="40" customFormat="1" ht="23.85" customHeight="1" x14ac:dyDescent="0.25">
      <c r="A1428" s="1323"/>
      <c r="B1428" s="1324"/>
      <c r="C1428" s="1324"/>
      <c r="D1428" s="1324"/>
      <c r="E1428" s="1324"/>
      <c r="F1428" s="1324"/>
      <c r="G1428" s="1324"/>
      <c r="H1428" s="1324"/>
      <c r="I1428" s="1325"/>
      <c r="J1428" s="1944"/>
      <c r="K1428" s="16">
        <f>K11+K20+K23+K27+K31+K33+K36+K39+K42+K44+K46+K50+K52+K54+K57+K59+K61+K63+K65+K68+K70+K72+K74+K76+K79+K86+K89+K91+K489+K503+K509+K515+K519+K521+K523+K525+K531+K533+K535+K537+K93+K1076+K1082+K1088</f>
        <v>735326.27</v>
      </c>
      <c r="L1428" s="228" t="s">
        <v>4</v>
      </c>
      <c r="M1428" s="1953"/>
      <c r="N1428" s="486"/>
      <c r="O1428" s="1175"/>
      <c r="P1428" s="1730"/>
      <c r="Q1428" s="1059">
        <f>Q167+Q169+Q171+Q173+Q176+Q179+Q190+Q192+Q194+Q196+Q198+Q200+Q202+Q204+Q206+Q208+Q210+Q212+Q214+Q216+Q218+Q220+Q222+Q224+Q539+Q542+Q585+Q587+Q589+Q591+Q593+Q595+Q597+Q599+Q604+Q606+Q571+Q560+Q549+Q527+Q511+Q491+Q98+Q103+Q108+Q112+Q117+Q124+Q130+Q574+Q580+Q496+Q161+Q157+Q153+Q149+Q146+Q142+Q138+Q546+Q1094+Q1097+Q1100+Q1103+Q1105+Q1108+Q1111+Q1114+Q165</f>
        <v>482926.5500000001</v>
      </c>
      <c r="R1428" s="1175" t="s">
        <v>4</v>
      </c>
      <c r="S1428" s="1953"/>
      <c r="T1428" s="486"/>
      <c r="U1428" s="1175"/>
      <c r="V1428" s="1730"/>
      <c r="W1428" s="908">
        <f>W10+W585+W587+W589+W591+W593+W595+W597+W599+W604+W606+W608+W505+W553+W564+W616+W620+W1264+W1116+W312+W220+W179+W176+W173+W167+W183+W185+W187+W567+W556+W395+W1118+W796+W798+W850+W860+W965+W1120+W428+W1324</f>
        <v>371069.18000000011</v>
      </c>
      <c r="X1428" s="1175" t="s">
        <v>4</v>
      </c>
      <c r="Y1428" s="1953"/>
      <c r="Z1428" s="486"/>
      <c r="AA1428" s="1175"/>
      <c r="AB1428" s="1730"/>
      <c r="AC1428" s="908">
        <f>AC138+AC183+AC185+AC214+AC216+AC322+AC610+AC616+AC624+AC804+AC806+AC812+AC818+AC822+AC830+AC854+AC862+AC865+AC871+AC889+AC950+AC953+AC1006+AC1052+AC1122+AC1124+AC1135+AC1198+AC1230+AC1240+AC1250+AC1256+AC1260+AC1266+AC1309+AC1311+AC1324+AC1363+AC1366+AC426+AC840+AC1327+AC1063+AC1313+AC1300+AC1268+AC1073+AC844+AC842+AC433+AC431+AC82</f>
        <v>320160.95521739131</v>
      </c>
      <c r="AD1428" s="1175" t="s">
        <v>4</v>
      </c>
      <c r="AE1428" s="1953"/>
      <c r="AF1428" s="486"/>
      <c r="AG1428" s="1175"/>
      <c r="AH1428" s="1730"/>
      <c r="AI1428" s="1059">
        <f>AI1336+AI1333+AI1330+AI1327+AI1321+AI1318+AI1315+AI1264+AI1262+AI1260+AI1258+AI1256+AI1254+AI1252+AI1250+AI1248+AI1166+AI1160+AI1157+AI1154+AI1151+AI1149+AI1146+AI1144+AI1141+AI1138+AI1135+AI1132+AI1129+AI1124+AI914+AI912+AI909+AI907+AI904+AI901+AI898+AI895+AI892+AI889+AI886+AI883+AI880+AI877+AI874+AI871+AI865+AI862+AI810+AI808+AI806+AI804+AI802+AI1378+AI1369+AI1348+AI1345+AI1313+AI1304+AI1302+AI1300+AI1290+AI1278+AI1272+AI1211+AI1206+AI1071+AI1069+AI1067+AI1065+AI1008+AI836+AI834+AI832+AI828+AI826</f>
        <v>198290.83000000002</v>
      </c>
      <c r="AJ1428" s="1175" t="s">
        <v>4</v>
      </c>
      <c r="AK1428" s="1953"/>
      <c r="AL1428" s="486"/>
      <c r="AM1428" s="1175"/>
      <c r="AN1428" s="1730"/>
      <c r="AO1428" s="1059">
        <f>AO1381+AO1378+AO1375+AO1372+AO1369+AO1366+AO1363+AO1360+AO1357+AO1354+AO1351+AO1348+AO1302+AO1300+AO1298+AO1296+AO1294+AO1292+AO1290+AO1288+AO1286+AO1284+AO1282+AO1280+AO1278+AO1276+AO1274+AO1272+AO1270+AO1221+AO1219+AO1217+AO1215+AO1213+AO1211+AO1208+AO1206+AO1203+AO1201+AO1198+AO1189+AO1186+AO1184+AO1182+AO1180+AO1040+AO1037+AO1034+AO1031+AO1028+AO1025+AO1022+AO1019+AO1016+AO1010+AO1008+AO1006+AO1003+AO1000+AO997+AO994+AO991+AO988+AO985+AO982+AO979+AO830+AO828+AO826+AO824+AO822+AO820+AO818+AO816+AO814+AO812+AO435+AO437+AO501+AO800+AO802+AO838+AO898+AO901+AO904+AO907+AO947+AO976+AO1129+AO1154+AO1177+AO1236+AO1248+AO1268+AO1306</f>
        <v>148500.7893592233</v>
      </c>
      <c r="AP1428" s="1175" t="s">
        <v>4</v>
      </c>
      <c r="AQ1428" s="1953"/>
      <c r="AR1428" s="194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9"/>
      <c r="BQ1428" s="39"/>
      <c r="BR1428" s="39"/>
      <c r="BS1428" s="39"/>
      <c r="BT1428" s="39"/>
      <c r="BU1428" s="39"/>
      <c r="BV1428" s="39"/>
      <c r="BW1428" s="39"/>
      <c r="BX1428" s="39"/>
      <c r="BY1428" s="39"/>
      <c r="BZ1428" s="39"/>
      <c r="CA1428" s="39"/>
      <c r="CB1428" s="39"/>
      <c r="CC1428" s="39"/>
      <c r="CD1428" s="39"/>
      <c r="CE1428" s="39"/>
      <c r="CF1428" s="39"/>
      <c r="CG1428" s="39"/>
      <c r="CH1428" s="39"/>
    </row>
    <row r="1429" spans="1:86" s="479" customFormat="1" ht="23.85" customHeight="1" x14ac:dyDescent="0.25">
      <c r="A1429" s="1323"/>
      <c r="B1429" s="1324"/>
      <c r="C1429" s="1324"/>
      <c r="D1429" s="1324"/>
      <c r="E1429" s="1324"/>
      <c r="F1429" s="1324"/>
      <c r="G1429" s="1324"/>
      <c r="H1429" s="1324"/>
      <c r="I1429" s="1325"/>
      <c r="J1429" s="1950" t="s">
        <v>1075</v>
      </c>
      <c r="K1429" s="1951"/>
      <c r="L1429" s="1952"/>
      <c r="M1429" s="191"/>
      <c r="N1429" s="142"/>
      <c r="O1429" s="1051"/>
      <c r="P1429" s="1950" t="s">
        <v>1075</v>
      </c>
      <c r="Q1429" s="1951"/>
      <c r="R1429" s="1952"/>
      <c r="S1429" s="191"/>
      <c r="T1429" s="142"/>
      <c r="U1429" s="1051"/>
      <c r="V1429" s="1946" t="s">
        <v>1075</v>
      </c>
      <c r="W1429" s="1946"/>
      <c r="X1429" s="1946"/>
      <c r="Y1429" s="191"/>
      <c r="Z1429" s="142"/>
      <c r="AA1429" s="1051"/>
      <c r="AB1429" s="1946" t="s">
        <v>1075</v>
      </c>
      <c r="AC1429" s="1946"/>
      <c r="AD1429" s="1946"/>
      <c r="AE1429" s="191"/>
      <c r="AF1429" s="142"/>
      <c r="AG1429" s="1051"/>
      <c r="AH1429" s="1946" t="s">
        <v>1075</v>
      </c>
      <c r="AI1429" s="1946"/>
      <c r="AJ1429" s="1946"/>
      <c r="AK1429" s="191"/>
      <c r="AL1429" s="142"/>
      <c r="AM1429" s="1051"/>
      <c r="AN1429" s="1946" t="s">
        <v>1075</v>
      </c>
      <c r="AO1429" s="1946"/>
      <c r="AP1429" s="1946"/>
      <c r="AQ1429" s="191"/>
      <c r="AR1429" s="142"/>
      <c r="AS1429" s="478"/>
      <c r="AT1429" s="478"/>
      <c r="AU1429" s="478"/>
      <c r="AV1429" s="478"/>
      <c r="AW1429" s="478"/>
      <c r="AX1429" s="478"/>
      <c r="AY1429" s="478"/>
      <c r="AZ1429" s="478"/>
      <c r="BA1429" s="478"/>
      <c r="BB1429" s="478"/>
      <c r="BC1429" s="478"/>
      <c r="BD1429" s="478"/>
      <c r="BE1429" s="478"/>
      <c r="BF1429" s="478"/>
      <c r="BG1429" s="478"/>
      <c r="BH1429" s="478"/>
      <c r="BI1429" s="478"/>
      <c r="BJ1429" s="478"/>
      <c r="BK1429" s="478"/>
      <c r="BL1429" s="478"/>
      <c r="BM1429" s="478"/>
      <c r="BN1429" s="478"/>
      <c r="BO1429" s="478"/>
      <c r="BP1429" s="478"/>
      <c r="BQ1429" s="478"/>
      <c r="BR1429" s="478"/>
      <c r="BS1429" s="478"/>
      <c r="BT1429" s="478"/>
      <c r="BU1429" s="478"/>
      <c r="BV1429" s="478"/>
      <c r="BW1429" s="478"/>
      <c r="BX1429" s="478"/>
      <c r="BY1429" s="478"/>
      <c r="BZ1429" s="478"/>
      <c r="CA1429" s="478"/>
      <c r="CB1429" s="478"/>
      <c r="CC1429" s="478"/>
      <c r="CD1429" s="478"/>
      <c r="CE1429" s="478"/>
      <c r="CF1429" s="478"/>
      <c r="CG1429" s="478"/>
      <c r="CH1429" s="478"/>
    </row>
    <row r="1430" spans="1:86" s="479" customFormat="1" ht="32.1" customHeight="1" x14ac:dyDescent="0.25">
      <c r="A1430" s="1323"/>
      <c r="B1430" s="1324"/>
      <c r="C1430" s="1324"/>
      <c r="D1430" s="1324"/>
      <c r="E1430" s="1324"/>
      <c r="F1430" s="1324"/>
      <c r="G1430" s="1324"/>
      <c r="H1430" s="1324"/>
      <c r="I1430" s="1325"/>
      <c r="J1430" s="1725" t="s">
        <v>1077</v>
      </c>
      <c r="K1430" s="1726"/>
      <c r="L1430" s="1727"/>
      <c r="M1430" s="191">
        <f>M1427-M1431</f>
        <v>745733.08334000013</v>
      </c>
      <c r="N1430" s="142"/>
      <c r="O1430" s="1051"/>
      <c r="P1430" s="1725" t="s">
        <v>1077</v>
      </c>
      <c r="Q1430" s="1726"/>
      <c r="R1430" s="1727"/>
      <c r="S1430" s="191">
        <f>S1427</f>
        <v>1144577.3299200004</v>
      </c>
      <c r="T1430" s="142"/>
      <c r="U1430" s="1051"/>
      <c r="V1430" s="1723" t="s">
        <v>1077</v>
      </c>
      <c r="W1430" s="1723"/>
      <c r="X1430" s="1723"/>
      <c r="Y1430" s="191">
        <f>Y1427</f>
        <v>536463.95569000009</v>
      </c>
      <c r="Z1430" s="142"/>
      <c r="AA1430" s="1051"/>
      <c r="AB1430" s="1723" t="s">
        <v>1077</v>
      </c>
      <c r="AC1430" s="1723"/>
      <c r="AD1430" s="1723"/>
      <c r="AE1430" s="191">
        <f>AE1427</f>
        <v>690840.06938999996</v>
      </c>
      <c r="AF1430" s="142"/>
      <c r="AG1430" s="1051"/>
      <c r="AH1430" s="1723" t="s">
        <v>1077</v>
      </c>
      <c r="AI1430" s="1723"/>
      <c r="AJ1430" s="1723"/>
      <c r="AK1430" s="191">
        <f>AK1427</f>
        <v>690000</v>
      </c>
      <c r="AL1430" s="142"/>
      <c r="AM1430" s="1051"/>
      <c r="AN1430" s="1723" t="s">
        <v>1077</v>
      </c>
      <c r="AO1430" s="1723"/>
      <c r="AP1430" s="1723"/>
      <c r="AQ1430" s="191">
        <f>AQ1427</f>
        <v>690000.00000000012</v>
      </c>
      <c r="AR1430" s="142"/>
      <c r="AS1430" s="478"/>
      <c r="AT1430" s="478"/>
      <c r="AU1430" s="478"/>
      <c r="AV1430" s="478"/>
      <c r="AW1430" s="478"/>
      <c r="AX1430" s="478"/>
      <c r="AY1430" s="478"/>
      <c r="AZ1430" s="478"/>
      <c r="BA1430" s="478"/>
      <c r="BB1430" s="478"/>
      <c r="BC1430" s="478"/>
      <c r="BD1430" s="478"/>
      <c r="BE1430" s="478"/>
      <c r="BF1430" s="478"/>
      <c r="BG1430" s="478"/>
      <c r="BH1430" s="478"/>
      <c r="BI1430" s="478"/>
      <c r="BJ1430" s="478"/>
      <c r="BK1430" s="478"/>
      <c r="BL1430" s="478"/>
      <c r="BM1430" s="478"/>
      <c r="BN1430" s="478"/>
      <c r="BO1430" s="478"/>
      <c r="BP1430" s="478"/>
      <c r="BQ1430" s="478"/>
      <c r="BR1430" s="478"/>
      <c r="BS1430" s="478"/>
      <c r="BT1430" s="478"/>
      <c r="BU1430" s="478"/>
      <c r="BV1430" s="478"/>
      <c r="BW1430" s="478"/>
      <c r="BX1430" s="478"/>
      <c r="BY1430" s="478"/>
      <c r="BZ1430" s="478"/>
      <c r="CA1430" s="478"/>
      <c r="CB1430" s="478"/>
      <c r="CC1430" s="478"/>
      <c r="CD1430" s="478"/>
      <c r="CE1430" s="478"/>
      <c r="CF1430" s="478"/>
      <c r="CG1430" s="478"/>
      <c r="CH1430" s="478"/>
    </row>
    <row r="1431" spans="1:86" s="479" customFormat="1" ht="23.85" customHeight="1" x14ac:dyDescent="0.25">
      <c r="A1431" s="1323"/>
      <c r="B1431" s="1324"/>
      <c r="C1431" s="1324"/>
      <c r="D1431" s="1324"/>
      <c r="E1431" s="1324"/>
      <c r="F1431" s="1324"/>
      <c r="G1431" s="1324"/>
      <c r="H1431" s="1324"/>
      <c r="I1431" s="1325"/>
      <c r="J1431" s="1956" t="s">
        <v>1076</v>
      </c>
      <c r="K1431" s="1957"/>
      <c r="L1431" s="1958"/>
      <c r="M1431" s="191">
        <f>M1087+M1081+M1075+M14+M96</f>
        <v>330125.71860000002</v>
      </c>
      <c r="N1431" s="142"/>
      <c r="O1431" s="1051"/>
      <c r="P1431" s="1956" t="s">
        <v>1076</v>
      </c>
      <c r="Q1431" s="1957"/>
      <c r="R1431" s="1958"/>
      <c r="S1431" s="191"/>
      <c r="T1431" s="142"/>
      <c r="U1431" s="1051"/>
      <c r="V1431" s="1723" t="s">
        <v>1076</v>
      </c>
      <c r="W1431" s="1723"/>
      <c r="X1431" s="1723"/>
      <c r="Y1431" s="191"/>
      <c r="Z1431" s="142"/>
      <c r="AA1431" s="1051"/>
      <c r="AB1431" s="1723" t="s">
        <v>1076</v>
      </c>
      <c r="AC1431" s="1723"/>
      <c r="AD1431" s="1723"/>
      <c r="AE1431" s="191"/>
      <c r="AF1431" s="142"/>
      <c r="AG1431" s="1051"/>
      <c r="AH1431" s="1723" t="s">
        <v>1076</v>
      </c>
      <c r="AI1431" s="1723"/>
      <c r="AJ1431" s="1723"/>
      <c r="AK1431" s="191"/>
      <c r="AL1431" s="142"/>
      <c r="AM1431" s="1051"/>
      <c r="AN1431" s="1723" t="s">
        <v>1076</v>
      </c>
      <c r="AO1431" s="1723"/>
      <c r="AP1431" s="1723"/>
      <c r="AQ1431" s="191"/>
      <c r="AR1431" s="142"/>
      <c r="AS1431" s="478"/>
      <c r="AT1431" s="478"/>
      <c r="AU1431" s="478"/>
      <c r="AV1431" s="478"/>
      <c r="AW1431" s="478"/>
      <c r="AX1431" s="478"/>
      <c r="AY1431" s="478"/>
      <c r="AZ1431" s="478"/>
      <c r="BA1431" s="478"/>
      <c r="BB1431" s="478"/>
      <c r="BC1431" s="478"/>
      <c r="BD1431" s="478"/>
      <c r="BE1431" s="478"/>
      <c r="BF1431" s="478"/>
      <c r="BG1431" s="478"/>
      <c r="BH1431" s="478"/>
      <c r="BI1431" s="478"/>
      <c r="BJ1431" s="478"/>
      <c r="BK1431" s="478"/>
      <c r="BL1431" s="478"/>
      <c r="BM1431" s="478"/>
      <c r="BN1431" s="478"/>
      <c r="BO1431" s="478"/>
      <c r="BP1431" s="478"/>
      <c r="BQ1431" s="478"/>
      <c r="BR1431" s="478"/>
      <c r="BS1431" s="478"/>
      <c r="BT1431" s="478"/>
      <c r="BU1431" s="478"/>
      <c r="BV1431" s="478"/>
      <c r="BW1431" s="478"/>
      <c r="BX1431" s="478"/>
      <c r="BY1431" s="478"/>
      <c r="BZ1431" s="478"/>
      <c r="CA1431" s="478"/>
      <c r="CB1431" s="478"/>
      <c r="CC1431" s="478"/>
      <c r="CD1431" s="478"/>
      <c r="CE1431" s="478"/>
      <c r="CF1431" s="478"/>
      <c r="CG1431" s="478"/>
      <c r="CH1431" s="478"/>
    </row>
    <row r="1432" spans="1:86" s="40" customFormat="1" ht="18.75" customHeight="1" x14ac:dyDescent="0.25">
      <c r="A1432" s="1323"/>
      <c r="B1432" s="1324"/>
      <c r="C1432" s="1324"/>
      <c r="D1432" s="1324"/>
      <c r="E1432" s="1324"/>
      <c r="F1432" s="1324"/>
      <c r="G1432" s="1324"/>
      <c r="H1432" s="1324"/>
      <c r="I1432" s="1325"/>
      <c r="J1432" s="1729" t="s">
        <v>32</v>
      </c>
      <c r="K1432" s="908"/>
      <c r="L1432" s="228" t="s">
        <v>2</v>
      </c>
      <c r="M1432" s="1806"/>
      <c r="N1432" s="194"/>
      <c r="O1432" s="228"/>
      <c r="P1432" s="1729" t="s">
        <v>32</v>
      </c>
      <c r="Q1432" s="16"/>
      <c r="R1432" s="228" t="s">
        <v>2</v>
      </c>
      <c r="S1432" s="1806"/>
      <c r="T1432" s="194"/>
      <c r="U1432" s="228"/>
      <c r="V1432" s="1729" t="s">
        <v>32</v>
      </c>
      <c r="W1432" s="908"/>
      <c r="X1432" s="228" t="s">
        <v>2</v>
      </c>
      <c r="Y1432" s="1806"/>
      <c r="Z1432" s="194"/>
      <c r="AA1432" s="228"/>
      <c r="AB1432" s="1729" t="s">
        <v>32</v>
      </c>
      <c r="AC1432" s="908"/>
      <c r="AD1432" s="228" t="s">
        <v>2</v>
      </c>
      <c r="AE1432" s="1806"/>
      <c r="AF1432" s="194"/>
      <c r="AG1432" s="228"/>
      <c r="AH1432" s="1729" t="s">
        <v>32</v>
      </c>
      <c r="AI1432" s="908"/>
      <c r="AJ1432" s="228" t="s">
        <v>2</v>
      </c>
      <c r="AK1432" s="1806"/>
      <c r="AL1432" s="194"/>
      <c r="AM1432" s="228"/>
      <c r="AN1432" s="1729" t="s">
        <v>32</v>
      </c>
      <c r="AO1432" s="908"/>
      <c r="AP1432" s="228" t="s">
        <v>2</v>
      </c>
      <c r="AQ1432" s="1806"/>
      <c r="AR1432" s="194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9"/>
      <c r="BQ1432" s="39"/>
      <c r="BR1432" s="39"/>
      <c r="BS1432" s="39"/>
      <c r="BT1432" s="39"/>
      <c r="BU1432" s="39"/>
      <c r="BV1432" s="39"/>
      <c r="BW1432" s="39"/>
      <c r="BX1432" s="39"/>
      <c r="BY1432" s="39"/>
      <c r="BZ1432" s="39"/>
      <c r="CA1432" s="39"/>
      <c r="CB1432" s="39"/>
      <c r="CC1432" s="39"/>
      <c r="CD1432" s="39"/>
      <c r="CE1432" s="39"/>
      <c r="CF1432" s="39"/>
      <c r="CG1432" s="39"/>
      <c r="CH1432" s="39"/>
    </row>
    <row r="1433" spans="1:86" s="40" customFormat="1" ht="18.75" customHeight="1" x14ac:dyDescent="0.25">
      <c r="A1433" s="1323"/>
      <c r="B1433" s="1324"/>
      <c r="C1433" s="1324"/>
      <c r="D1433" s="1324"/>
      <c r="E1433" s="1324"/>
      <c r="F1433" s="1324"/>
      <c r="G1433" s="1324"/>
      <c r="H1433" s="1324"/>
      <c r="I1433" s="1325"/>
      <c r="J1433" s="1944"/>
      <c r="K1433" s="908"/>
      <c r="L1433" s="228" t="s">
        <v>4</v>
      </c>
      <c r="M1433" s="1953"/>
      <c r="N1433" s="194"/>
      <c r="O1433" s="228"/>
      <c r="P1433" s="1944"/>
      <c r="Q1433" s="16"/>
      <c r="R1433" s="228" t="s">
        <v>4</v>
      </c>
      <c r="S1433" s="1953"/>
      <c r="T1433" s="194"/>
      <c r="U1433" s="228"/>
      <c r="V1433" s="1944"/>
      <c r="W1433" s="908"/>
      <c r="X1433" s="228" t="s">
        <v>4</v>
      </c>
      <c r="Y1433" s="1953"/>
      <c r="Z1433" s="194"/>
      <c r="AA1433" s="228"/>
      <c r="AB1433" s="1944"/>
      <c r="AC1433" s="908"/>
      <c r="AD1433" s="228" t="s">
        <v>4</v>
      </c>
      <c r="AE1433" s="1953"/>
      <c r="AF1433" s="194"/>
      <c r="AG1433" s="228"/>
      <c r="AH1433" s="1944"/>
      <c r="AI1433" s="908"/>
      <c r="AJ1433" s="228" t="s">
        <v>4</v>
      </c>
      <c r="AK1433" s="1953"/>
      <c r="AL1433" s="194"/>
      <c r="AM1433" s="228"/>
      <c r="AN1433" s="1944"/>
      <c r="AO1433" s="908"/>
      <c r="AP1433" s="228" t="s">
        <v>4</v>
      </c>
      <c r="AQ1433" s="1953"/>
      <c r="AR1433" s="194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9"/>
      <c r="BQ1433" s="39"/>
      <c r="BR1433" s="39"/>
      <c r="BS1433" s="39"/>
      <c r="BT1433" s="39"/>
      <c r="BU1433" s="39"/>
      <c r="BV1433" s="39"/>
      <c r="BW1433" s="39"/>
      <c r="BX1433" s="39"/>
      <c r="BY1433" s="39"/>
      <c r="BZ1433" s="39"/>
      <c r="CA1433" s="39"/>
      <c r="CB1433" s="39"/>
      <c r="CC1433" s="39"/>
      <c r="CD1433" s="39"/>
      <c r="CE1433" s="39"/>
      <c r="CF1433" s="39"/>
      <c r="CG1433" s="39"/>
      <c r="CH1433" s="39"/>
    </row>
    <row r="1434" spans="1:86" s="40" customFormat="1" ht="18.75" customHeight="1" x14ac:dyDescent="0.25">
      <c r="A1434" s="1323"/>
      <c r="B1434" s="1324"/>
      <c r="C1434" s="1324"/>
      <c r="D1434" s="1324"/>
      <c r="E1434" s="1324"/>
      <c r="F1434" s="1324"/>
      <c r="G1434" s="1324"/>
      <c r="H1434" s="1324"/>
      <c r="I1434" s="1325"/>
      <c r="J1434" s="1729" t="s">
        <v>33</v>
      </c>
      <c r="K1434" s="16">
        <f>K454</f>
        <v>0.88300000000000001</v>
      </c>
      <c r="L1434" s="228" t="s">
        <v>2</v>
      </c>
      <c r="M1434" s="1806">
        <f>M454+M456+M457+M458+M459+M460</f>
        <v>97474.786999999997</v>
      </c>
      <c r="N1434" s="194"/>
      <c r="O1434" s="228"/>
      <c r="P1434" s="1729" t="s">
        <v>33</v>
      </c>
      <c r="Q1434" s="16"/>
      <c r="R1434" s="228" t="s">
        <v>2</v>
      </c>
      <c r="S1434" s="1806"/>
      <c r="T1434" s="194"/>
      <c r="U1434" s="228"/>
      <c r="V1434" s="1729" t="s">
        <v>33</v>
      </c>
      <c r="W1434" s="908">
        <f>W869</f>
        <v>0</v>
      </c>
      <c r="X1434" s="228" t="s">
        <v>2</v>
      </c>
      <c r="Y1434" s="1806">
        <f>Y869</f>
        <v>0</v>
      </c>
      <c r="Z1434" s="194"/>
      <c r="AA1434" s="228"/>
      <c r="AB1434" s="1729" t="s">
        <v>33</v>
      </c>
      <c r="AC1434" s="908"/>
      <c r="AD1434" s="228" t="s">
        <v>2</v>
      </c>
      <c r="AE1434" s="1806"/>
      <c r="AF1434" s="194"/>
      <c r="AG1434" s="228"/>
      <c r="AH1434" s="1729" t="s">
        <v>33</v>
      </c>
      <c r="AI1434" s="908"/>
      <c r="AJ1434" s="228" t="s">
        <v>2</v>
      </c>
      <c r="AK1434" s="1806"/>
      <c r="AL1434" s="194"/>
      <c r="AM1434" s="228"/>
      <c r="AN1434" s="1729" t="s">
        <v>33</v>
      </c>
      <c r="AO1434" s="908"/>
      <c r="AP1434" s="228" t="s">
        <v>2</v>
      </c>
      <c r="AQ1434" s="1806"/>
      <c r="AR1434" s="194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9"/>
      <c r="BQ1434" s="39"/>
      <c r="BR1434" s="39"/>
      <c r="BS1434" s="39"/>
      <c r="BT1434" s="39"/>
      <c r="BU1434" s="39"/>
      <c r="BV1434" s="39"/>
      <c r="BW1434" s="39"/>
      <c r="BX1434" s="39"/>
      <c r="BY1434" s="39"/>
      <c r="BZ1434" s="39"/>
      <c r="CA1434" s="39"/>
      <c r="CB1434" s="39"/>
      <c r="CC1434" s="39"/>
      <c r="CD1434" s="39"/>
      <c r="CE1434" s="39"/>
      <c r="CF1434" s="39"/>
      <c r="CG1434" s="39"/>
      <c r="CH1434" s="39"/>
    </row>
    <row r="1435" spans="1:86" s="40" customFormat="1" ht="18.75" customHeight="1" x14ac:dyDescent="0.25">
      <c r="A1435" s="1323"/>
      <c r="B1435" s="1324"/>
      <c r="C1435" s="1324"/>
      <c r="D1435" s="1324"/>
      <c r="E1435" s="1324"/>
      <c r="F1435" s="1324"/>
      <c r="G1435" s="1324"/>
      <c r="H1435" s="1324"/>
      <c r="I1435" s="1325"/>
      <c r="J1435" s="1944"/>
      <c r="K1435" s="908">
        <f>K455</f>
        <v>17216.599999999999</v>
      </c>
      <c r="L1435" s="228" t="s">
        <v>4</v>
      </c>
      <c r="M1435" s="1807"/>
      <c r="N1435" s="194"/>
      <c r="O1435" s="228"/>
      <c r="P1435" s="1944"/>
      <c r="Q1435" s="16"/>
      <c r="R1435" s="228" t="s">
        <v>4</v>
      </c>
      <c r="S1435" s="1807"/>
      <c r="T1435" s="194"/>
      <c r="U1435" s="228"/>
      <c r="V1435" s="1944"/>
      <c r="W1435" s="908">
        <f>W870</f>
        <v>0</v>
      </c>
      <c r="X1435" s="228" t="s">
        <v>4</v>
      </c>
      <c r="Y1435" s="1807"/>
      <c r="Z1435" s="194"/>
      <c r="AA1435" s="228"/>
      <c r="AB1435" s="1944"/>
      <c r="AC1435" s="908"/>
      <c r="AD1435" s="228" t="s">
        <v>4</v>
      </c>
      <c r="AE1435" s="1807"/>
      <c r="AF1435" s="194"/>
      <c r="AG1435" s="228"/>
      <c r="AH1435" s="1944"/>
      <c r="AI1435" s="908"/>
      <c r="AJ1435" s="228" t="s">
        <v>4</v>
      </c>
      <c r="AK1435" s="1807"/>
      <c r="AL1435" s="194"/>
      <c r="AM1435" s="228"/>
      <c r="AN1435" s="1944"/>
      <c r="AO1435" s="908"/>
      <c r="AP1435" s="228" t="s">
        <v>4</v>
      </c>
      <c r="AQ1435" s="1807"/>
      <c r="AR1435" s="194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9"/>
      <c r="BQ1435" s="39"/>
      <c r="BR1435" s="39"/>
      <c r="BS1435" s="39"/>
      <c r="BT1435" s="39"/>
      <c r="BU1435" s="39"/>
      <c r="BV1435" s="39"/>
      <c r="BW1435" s="39"/>
      <c r="BX1435" s="39"/>
      <c r="BY1435" s="39"/>
      <c r="BZ1435" s="39"/>
      <c r="CA1435" s="39"/>
      <c r="CB1435" s="39"/>
      <c r="CC1435" s="39"/>
      <c r="CD1435" s="39"/>
      <c r="CE1435" s="39"/>
      <c r="CF1435" s="39"/>
      <c r="CG1435" s="39"/>
      <c r="CH1435" s="39"/>
    </row>
    <row r="1436" spans="1:86" s="40" customFormat="1" ht="18.75" customHeight="1" x14ac:dyDescent="0.25">
      <c r="A1436" s="1323"/>
      <c r="B1436" s="1324"/>
      <c r="C1436" s="1324"/>
      <c r="D1436" s="1324"/>
      <c r="E1436" s="1324"/>
      <c r="F1436" s="1324"/>
      <c r="G1436" s="1324"/>
      <c r="H1436" s="1324"/>
      <c r="I1436" s="1325"/>
      <c r="J1436" s="1729" t="s">
        <v>34</v>
      </c>
      <c r="K1436" s="16">
        <f>K441</f>
        <v>0</v>
      </c>
      <c r="L1436" s="228" t="s">
        <v>2</v>
      </c>
      <c r="M1436" s="1806">
        <f>M441</f>
        <v>361208.66648000001</v>
      </c>
      <c r="N1436" s="194"/>
      <c r="O1436" s="228"/>
      <c r="P1436" s="1729" t="s">
        <v>34</v>
      </c>
      <c r="Q1436" s="573">
        <f>Q441</f>
        <v>2.9235699999999998</v>
      </c>
      <c r="R1436" s="228" t="s">
        <v>2</v>
      </c>
      <c r="S1436" s="1806">
        <f>S441</f>
        <v>307636.58217000001</v>
      </c>
      <c r="T1436" s="194"/>
      <c r="U1436" s="228"/>
      <c r="V1436" s="1729" t="s">
        <v>34</v>
      </c>
      <c r="W1436" s="908"/>
      <c r="X1436" s="228" t="s">
        <v>2</v>
      </c>
      <c r="Y1436" s="1806"/>
      <c r="Z1436" s="194"/>
      <c r="AA1436" s="228"/>
      <c r="AB1436" s="1729" t="s">
        <v>34</v>
      </c>
      <c r="AC1436" s="908"/>
      <c r="AD1436" s="228" t="s">
        <v>2</v>
      </c>
      <c r="AE1436" s="1806"/>
      <c r="AF1436" s="194"/>
      <c r="AG1436" s="228"/>
      <c r="AH1436" s="1729" t="s">
        <v>34</v>
      </c>
      <c r="AI1436" s="908"/>
      <c r="AJ1436" s="228" t="s">
        <v>2</v>
      </c>
      <c r="AK1436" s="1806"/>
      <c r="AL1436" s="194"/>
      <c r="AM1436" s="228"/>
      <c r="AN1436" s="1729" t="s">
        <v>34</v>
      </c>
      <c r="AO1436" s="908"/>
      <c r="AP1436" s="228" t="s">
        <v>2</v>
      </c>
      <c r="AQ1436" s="1806"/>
      <c r="AR1436" s="194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9"/>
      <c r="BQ1436" s="39"/>
      <c r="BR1436" s="39"/>
      <c r="BS1436" s="39"/>
      <c r="BT1436" s="39"/>
      <c r="BU1436" s="39"/>
      <c r="BV1436" s="39"/>
      <c r="BW1436" s="39"/>
      <c r="BX1436" s="39"/>
      <c r="BY1436" s="39"/>
      <c r="BZ1436" s="39"/>
      <c r="CA1436" s="39"/>
      <c r="CB1436" s="39"/>
      <c r="CC1436" s="39"/>
      <c r="CD1436" s="39"/>
      <c r="CE1436" s="39"/>
      <c r="CF1436" s="39"/>
      <c r="CG1436" s="39"/>
      <c r="CH1436" s="39"/>
    </row>
    <row r="1437" spans="1:86" s="40" customFormat="1" ht="18.75" customHeight="1" x14ac:dyDescent="0.25">
      <c r="A1437" s="1323"/>
      <c r="B1437" s="1324"/>
      <c r="C1437" s="1324"/>
      <c r="D1437" s="1324"/>
      <c r="E1437" s="1324"/>
      <c r="F1437" s="1324"/>
      <c r="G1437" s="1324"/>
      <c r="H1437" s="1324"/>
      <c r="I1437" s="1325"/>
      <c r="J1437" s="1944"/>
      <c r="K1437" s="1059">
        <f>K442</f>
        <v>0</v>
      </c>
      <c r="L1437" s="1175" t="s">
        <v>4</v>
      </c>
      <c r="M1437" s="1953"/>
      <c r="N1437" s="486"/>
      <c r="O1437" s="1175"/>
      <c r="P1437" s="1944"/>
      <c r="Q1437" s="1059">
        <f>Q442</f>
        <v>56152</v>
      </c>
      <c r="R1437" s="1175" t="s">
        <v>4</v>
      </c>
      <c r="S1437" s="1953"/>
      <c r="T1437" s="486"/>
      <c r="U1437" s="1175"/>
      <c r="V1437" s="1944"/>
      <c r="W1437" s="1059"/>
      <c r="X1437" s="1175" t="s">
        <v>4</v>
      </c>
      <c r="Y1437" s="1953"/>
      <c r="Z1437" s="486"/>
      <c r="AA1437" s="1175"/>
      <c r="AB1437" s="1944"/>
      <c r="AC1437" s="1059"/>
      <c r="AD1437" s="1175" t="s">
        <v>4</v>
      </c>
      <c r="AE1437" s="1953"/>
      <c r="AF1437" s="486"/>
      <c r="AG1437" s="1175"/>
      <c r="AH1437" s="1944"/>
      <c r="AI1437" s="1059"/>
      <c r="AJ1437" s="1175" t="s">
        <v>4</v>
      </c>
      <c r="AK1437" s="1953"/>
      <c r="AL1437" s="486"/>
      <c r="AM1437" s="1175"/>
      <c r="AN1437" s="1944"/>
      <c r="AO1437" s="1059"/>
      <c r="AP1437" s="1175" t="s">
        <v>4</v>
      </c>
      <c r="AQ1437" s="1953"/>
      <c r="AR1437" s="486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9"/>
      <c r="BQ1437" s="39"/>
      <c r="BR1437" s="39"/>
      <c r="BS1437" s="39"/>
      <c r="BT1437" s="39"/>
      <c r="BU1437" s="39"/>
      <c r="BV1437" s="39"/>
      <c r="BW1437" s="39"/>
      <c r="BX1437" s="39"/>
      <c r="BY1437" s="39"/>
      <c r="BZ1437" s="39"/>
      <c r="CA1437" s="39"/>
      <c r="CB1437" s="39"/>
      <c r="CC1437" s="39"/>
      <c r="CD1437" s="39"/>
      <c r="CE1437" s="39"/>
      <c r="CF1437" s="39"/>
      <c r="CG1437" s="39"/>
      <c r="CH1437" s="39"/>
    </row>
    <row r="1438" spans="1:86" s="481" customFormat="1" ht="18.75" customHeight="1" x14ac:dyDescent="0.25">
      <c r="A1438" s="1323"/>
      <c r="B1438" s="1324"/>
      <c r="C1438" s="1324"/>
      <c r="D1438" s="1324"/>
      <c r="E1438" s="1324"/>
      <c r="F1438" s="1324"/>
      <c r="G1438" s="1324"/>
      <c r="H1438" s="1324"/>
      <c r="I1438" s="1325"/>
      <c r="J1438" s="1946" t="s">
        <v>1075</v>
      </c>
      <c r="K1438" s="1946"/>
      <c r="L1438" s="1946"/>
      <c r="M1438" s="191"/>
      <c r="N1438" s="142"/>
      <c r="O1438" s="1051"/>
      <c r="P1438" s="1946" t="s">
        <v>1075</v>
      </c>
      <c r="Q1438" s="1946"/>
      <c r="R1438" s="1946"/>
      <c r="S1438" s="191"/>
      <c r="T1438" s="142"/>
      <c r="U1438" s="1051"/>
      <c r="V1438" s="1946" t="s">
        <v>1075</v>
      </c>
      <c r="W1438" s="1946"/>
      <c r="X1438" s="1946"/>
      <c r="Y1438" s="191"/>
      <c r="Z1438" s="142"/>
      <c r="AA1438" s="1051"/>
      <c r="AB1438" s="1946" t="s">
        <v>1075</v>
      </c>
      <c r="AC1438" s="1946"/>
      <c r="AD1438" s="1946"/>
      <c r="AE1438" s="191"/>
      <c r="AF1438" s="142"/>
      <c r="AG1438" s="1051"/>
      <c r="AH1438" s="1946" t="s">
        <v>1075</v>
      </c>
      <c r="AI1438" s="1946"/>
      <c r="AJ1438" s="1946"/>
      <c r="AK1438" s="191"/>
      <c r="AL1438" s="142"/>
      <c r="AM1438" s="1051"/>
      <c r="AN1438" s="1946" t="s">
        <v>1075</v>
      </c>
      <c r="AO1438" s="1946"/>
      <c r="AP1438" s="1946"/>
      <c r="AQ1438" s="191"/>
      <c r="AR1438" s="142"/>
    </row>
    <row r="1439" spans="1:86" s="481" customFormat="1" ht="33.4" customHeight="1" x14ac:dyDescent="0.25">
      <c r="A1439" s="1323"/>
      <c r="B1439" s="1324"/>
      <c r="C1439" s="1324"/>
      <c r="D1439" s="1324"/>
      <c r="E1439" s="1324"/>
      <c r="F1439" s="1324"/>
      <c r="G1439" s="1324"/>
      <c r="H1439" s="1324"/>
      <c r="I1439" s="1325"/>
      <c r="J1439" s="1723" t="s">
        <v>1077</v>
      </c>
      <c r="K1439" s="1723"/>
      <c r="L1439" s="1723"/>
      <c r="M1439" s="191">
        <f>M1436-M1440</f>
        <v>0</v>
      </c>
      <c r="N1439" s="142"/>
      <c r="O1439" s="1051"/>
      <c r="P1439" s="1723" t="s">
        <v>1077</v>
      </c>
      <c r="Q1439" s="1723"/>
      <c r="R1439" s="1723"/>
      <c r="S1439" s="191">
        <f>S1436</f>
        <v>307636.58217000001</v>
      </c>
      <c r="T1439" s="142"/>
      <c r="U1439" s="1051"/>
      <c r="V1439" s="1723" t="s">
        <v>1077</v>
      </c>
      <c r="W1439" s="1723"/>
      <c r="X1439" s="1723"/>
      <c r="Y1439" s="191"/>
      <c r="Z1439" s="142"/>
      <c r="AA1439" s="1051"/>
      <c r="AB1439" s="1723" t="s">
        <v>1077</v>
      </c>
      <c r="AC1439" s="1723"/>
      <c r="AD1439" s="1723"/>
      <c r="AE1439" s="191"/>
      <c r="AF1439" s="142"/>
      <c r="AG1439" s="1051"/>
      <c r="AH1439" s="1723" t="s">
        <v>1077</v>
      </c>
      <c r="AI1439" s="1723"/>
      <c r="AJ1439" s="1723"/>
      <c r="AK1439" s="191"/>
      <c r="AL1439" s="142"/>
      <c r="AM1439" s="1051"/>
      <c r="AN1439" s="1723" t="s">
        <v>1077</v>
      </c>
      <c r="AO1439" s="1723"/>
      <c r="AP1439" s="1723"/>
      <c r="AQ1439" s="191"/>
      <c r="AR1439" s="142"/>
    </row>
    <row r="1440" spans="1:86" s="481" customFormat="1" ht="18.75" customHeight="1" x14ac:dyDescent="0.25">
      <c r="A1440" s="1323"/>
      <c r="B1440" s="1324"/>
      <c r="C1440" s="1324"/>
      <c r="D1440" s="1324"/>
      <c r="E1440" s="1324"/>
      <c r="F1440" s="1324"/>
      <c r="G1440" s="1324"/>
      <c r="H1440" s="1324"/>
      <c r="I1440" s="1325"/>
      <c r="J1440" s="1723" t="s">
        <v>1076</v>
      </c>
      <c r="K1440" s="1723"/>
      <c r="L1440" s="1723"/>
      <c r="M1440" s="191">
        <f>M441</f>
        <v>361208.66648000001</v>
      </c>
      <c r="N1440" s="142"/>
      <c r="O1440" s="1051"/>
      <c r="P1440" s="1723" t="s">
        <v>1076</v>
      </c>
      <c r="Q1440" s="1723"/>
      <c r="R1440" s="1723"/>
      <c r="S1440" s="191"/>
      <c r="T1440" s="142"/>
      <c r="U1440" s="1051"/>
      <c r="V1440" s="1723" t="s">
        <v>1076</v>
      </c>
      <c r="W1440" s="1723"/>
      <c r="X1440" s="1723"/>
      <c r="Y1440" s="191"/>
      <c r="Z1440" s="142"/>
      <c r="AA1440" s="1051"/>
      <c r="AB1440" s="1723" t="s">
        <v>1076</v>
      </c>
      <c r="AC1440" s="1723"/>
      <c r="AD1440" s="1723"/>
      <c r="AE1440" s="191"/>
      <c r="AF1440" s="142"/>
      <c r="AG1440" s="1051"/>
      <c r="AH1440" s="1723" t="s">
        <v>1076</v>
      </c>
      <c r="AI1440" s="1723"/>
      <c r="AJ1440" s="1723"/>
      <c r="AK1440" s="191"/>
      <c r="AL1440" s="142"/>
      <c r="AM1440" s="1051"/>
      <c r="AN1440" s="1723" t="s">
        <v>1076</v>
      </c>
      <c r="AO1440" s="1723"/>
      <c r="AP1440" s="1723"/>
      <c r="AQ1440" s="191"/>
      <c r="AR1440" s="142"/>
    </row>
    <row r="1441" spans="1:86" s="40" customFormat="1" ht="18.75" customHeight="1" x14ac:dyDescent="0.25">
      <c r="A1441" s="1323"/>
      <c r="B1441" s="1324"/>
      <c r="C1441" s="1324"/>
      <c r="D1441" s="1324"/>
      <c r="E1441" s="1324"/>
      <c r="F1441" s="1324"/>
      <c r="G1441" s="1324"/>
      <c r="H1441" s="1324"/>
      <c r="I1441" s="1325"/>
      <c r="J1441" s="1286" t="s">
        <v>1038</v>
      </c>
      <c r="K1441" s="889"/>
      <c r="L1441" s="887" t="s">
        <v>1044</v>
      </c>
      <c r="M1441" s="1242"/>
      <c r="N1441" s="480"/>
      <c r="O1441" s="887"/>
      <c r="P1441" s="1286" t="s">
        <v>1038</v>
      </c>
      <c r="Q1441" s="889"/>
      <c r="R1441" s="887" t="s">
        <v>1044</v>
      </c>
      <c r="S1441" s="1242"/>
      <c r="T1441" s="480"/>
      <c r="U1441" s="887"/>
      <c r="V1441" s="1286" t="s">
        <v>1038</v>
      </c>
      <c r="W1441" s="889"/>
      <c r="X1441" s="887" t="s">
        <v>1044</v>
      </c>
      <c r="Y1441" s="1242"/>
      <c r="Z1441" s="480"/>
      <c r="AA1441" s="887"/>
      <c r="AB1441" s="1286" t="s">
        <v>1038</v>
      </c>
      <c r="AC1441" s="889"/>
      <c r="AD1441" s="887" t="s">
        <v>1044</v>
      </c>
      <c r="AE1441" s="1242"/>
      <c r="AF1441" s="480"/>
      <c r="AG1441" s="887"/>
      <c r="AH1441" s="1286" t="s">
        <v>1038</v>
      </c>
      <c r="AI1441" s="889"/>
      <c r="AJ1441" s="887" t="s">
        <v>1044</v>
      </c>
      <c r="AK1441" s="1242"/>
      <c r="AL1441" s="480"/>
      <c r="AM1441" s="887"/>
      <c r="AN1441" s="1286" t="s">
        <v>1038</v>
      </c>
      <c r="AO1441" s="889"/>
      <c r="AP1441" s="887" t="s">
        <v>1044</v>
      </c>
      <c r="AQ1441" s="1242"/>
      <c r="AR1441" s="480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9"/>
      <c r="BQ1441" s="39"/>
      <c r="BR1441" s="39"/>
      <c r="BS1441" s="39"/>
      <c r="BT1441" s="39"/>
      <c r="BU1441" s="39"/>
      <c r="BV1441" s="39"/>
      <c r="BW1441" s="39"/>
      <c r="BX1441" s="39"/>
      <c r="BY1441" s="39"/>
      <c r="BZ1441" s="39"/>
      <c r="CA1441" s="39"/>
      <c r="CB1441" s="39"/>
      <c r="CC1441" s="39"/>
      <c r="CD1441" s="39"/>
      <c r="CE1441" s="39"/>
      <c r="CF1441" s="39"/>
      <c r="CG1441" s="39"/>
      <c r="CH1441" s="39"/>
    </row>
    <row r="1442" spans="1:86" s="40" customFormat="1" ht="18.75" customHeight="1" x14ac:dyDescent="0.25">
      <c r="A1442" s="1323"/>
      <c r="B1442" s="1324"/>
      <c r="C1442" s="1324"/>
      <c r="D1442" s="1324"/>
      <c r="E1442" s="1324"/>
      <c r="F1442" s="1324"/>
      <c r="G1442" s="1324"/>
      <c r="H1442" s="1324"/>
      <c r="I1442" s="1325"/>
      <c r="J1442" s="1288"/>
      <c r="K1442" s="948"/>
      <c r="L1442" s="924" t="s">
        <v>2</v>
      </c>
      <c r="M1442" s="1243"/>
      <c r="N1442" s="192"/>
      <c r="O1442" s="924"/>
      <c r="P1442" s="1288"/>
      <c r="Q1442" s="948"/>
      <c r="R1442" s="924" t="s">
        <v>2</v>
      </c>
      <c r="S1442" s="1243"/>
      <c r="T1442" s="192"/>
      <c r="U1442" s="924"/>
      <c r="V1442" s="1288"/>
      <c r="W1442" s="948"/>
      <c r="X1442" s="924" t="s">
        <v>2</v>
      </c>
      <c r="Y1442" s="1243"/>
      <c r="Z1442" s="192"/>
      <c r="AA1442" s="924"/>
      <c r="AB1442" s="1288"/>
      <c r="AC1442" s="948"/>
      <c r="AD1442" s="924" t="s">
        <v>2</v>
      </c>
      <c r="AE1442" s="1243"/>
      <c r="AF1442" s="192"/>
      <c r="AG1442" s="924"/>
      <c r="AH1442" s="1288"/>
      <c r="AI1442" s="948"/>
      <c r="AJ1442" s="924" t="s">
        <v>2</v>
      </c>
      <c r="AK1442" s="1243"/>
      <c r="AL1442" s="192"/>
      <c r="AM1442" s="924"/>
      <c r="AN1442" s="1288"/>
      <c r="AO1442" s="948"/>
      <c r="AP1442" s="924" t="s">
        <v>2</v>
      </c>
      <c r="AQ1442" s="1243"/>
      <c r="AR1442" s="192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9"/>
      <c r="BQ1442" s="39"/>
      <c r="BR1442" s="39"/>
      <c r="BS1442" s="39"/>
      <c r="BT1442" s="39"/>
      <c r="BU1442" s="39"/>
      <c r="BV1442" s="39"/>
      <c r="BW1442" s="39"/>
      <c r="BX1442" s="39"/>
      <c r="BY1442" s="39"/>
      <c r="BZ1442" s="39"/>
      <c r="CA1442" s="39"/>
      <c r="CB1442" s="39"/>
      <c r="CC1442" s="39"/>
      <c r="CD1442" s="39"/>
      <c r="CE1442" s="39"/>
      <c r="CF1442" s="39"/>
      <c r="CG1442" s="39"/>
      <c r="CH1442" s="39"/>
    </row>
    <row r="1443" spans="1:86" s="40" customFormat="1" ht="18.75" customHeight="1" x14ac:dyDescent="0.25">
      <c r="A1443" s="1323"/>
      <c r="B1443" s="1324"/>
      <c r="C1443" s="1324"/>
      <c r="D1443" s="1324"/>
      <c r="E1443" s="1324"/>
      <c r="F1443" s="1324"/>
      <c r="G1443" s="1324"/>
      <c r="H1443" s="1324"/>
      <c r="I1443" s="1325"/>
      <c r="J1443" s="1287"/>
      <c r="K1443" s="948"/>
      <c r="L1443" s="924" t="s">
        <v>4</v>
      </c>
      <c r="M1443" s="1244"/>
      <c r="N1443" s="192"/>
      <c r="O1443" s="924"/>
      <c r="P1443" s="1287"/>
      <c r="Q1443" s="948"/>
      <c r="R1443" s="924" t="s">
        <v>4</v>
      </c>
      <c r="S1443" s="1244"/>
      <c r="T1443" s="192"/>
      <c r="U1443" s="924"/>
      <c r="V1443" s="1287"/>
      <c r="W1443" s="948"/>
      <c r="X1443" s="924" t="s">
        <v>4</v>
      </c>
      <c r="Y1443" s="1244"/>
      <c r="Z1443" s="192"/>
      <c r="AA1443" s="924"/>
      <c r="AB1443" s="1287"/>
      <c r="AC1443" s="948"/>
      <c r="AD1443" s="924" t="s">
        <v>4</v>
      </c>
      <c r="AE1443" s="1244"/>
      <c r="AF1443" s="192"/>
      <c r="AG1443" s="924"/>
      <c r="AH1443" s="1287"/>
      <c r="AI1443" s="948"/>
      <c r="AJ1443" s="924" t="s">
        <v>4</v>
      </c>
      <c r="AK1443" s="1244"/>
      <c r="AL1443" s="192"/>
      <c r="AM1443" s="924"/>
      <c r="AN1443" s="1287"/>
      <c r="AO1443" s="948"/>
      <c r="AP1443" s="924" t="s">
        <v>4</v>
      </c>
      <c r="AQ1443" s="1244"/>
      <c r="AR1443" s="192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9"/>
      <c r="BQ1443" s="39"/>
      <c r="BR1443" s="39"/>
      <c r="BS1443" s="39"/>
      <c r="BT1443" s="39"/>
      <c r="BU1443" s="39"/>
      <c r="BV1443" s="39"/>
      <c r="BW1443" s="39"/>
      <c r="BX1443" s="39"/>
      <c r="BY1443" s="39"/>
      <c r="BZ1443" s="39"/>
      <c r="CA1443" s="39"/>
      <c r="CB1443" s="39"/>
      <c r="CC1443" s="39"/>
      <c r="CD1443" s="39"/>
      <c r="CE1443" s="39"/>
      <c r="CF1443" s="39"/>
      <c r="CG1443" s="39"/>
      <c r="CH1443" s="39"/>
    </row>
    <row r="1444" spans="1:86" s="40" customFormat="1" ht="18.75" customHeight="1" x14ac:dyDescent="0.25">
      <c r="A1444" s="1323"/>
      <c r="B1444" s="1324"/>
      <c r="C1444" s="1324"/>
      <c r="D1444" s="1324"/>
      <c r="E1444" s="1324"/>
      <c r="F1444" s="1324"/>
      <c r="G1444" s="1324"/>
      <c r="H1444" s="1324"/>
      <c r="I1444" s="1325"/>
      <c r="J1444" s="1286" t="s">
        <v>1037</v>
      </c>
      <c r="K1444" s="948"/>
      <c r="L1444" s="924" t="s">
        <v>1044</v>
      </c>
      <c r="M1444" s="1242"/>
      <c r="N1444" s="192"/>
      <c r="O1444" s="924"/>
      <c r="P1444" s="1286" t="s">
        <v>1037</v>
      </c>
      <c r="Q1444" s="948"/>
      <c r="R1444" s="924" t="s">
        <v>1044</v>
      </c>
      <c r="S1444" s="1242"/>
      <c r="T1444" s="192"/>
      <c r="U1444" s="924"/>
      <c r="V1444" s="1286" t="s">
        <v>1037</v>
      </c>
      <c r="W1444" s="948"/>
      <c r="X1444" s="924" t="s">
        <v>1044</v>
      </c>
      <c r="Y1444" s="1242"/>
      <c r="Z1444" s="192"/>
      <c r="AA1444" s="924"/>
      <c r="AB1444" s="1286" t="s">
        <v>1037</v>
      </c>
      <c r="AC1444" s="948"/>
      <c r="AD1444" s="924" t="s">
        <v>1044</v>
      </c>
      <c r="AE1444" s="1242"/>
      <c r="AF1444" s="192"/>
      <c r="AG1444" s="924"/>
      <c r="AH1444" s="1286" t="s">
        <v>1037</v>
      </c>
      <c r="AI1444" s="948"/>
      <c r="AJ1444" s="924" t="s">
        <v>1044</v>
      </c>
      <c r="AK1444" s="1242"/>
      <c r="AL1444" s="192"/>
      <c r="AM1444" s="924"/>
      <c r="AN1444" s="1286" t="s">
        <v>1037</v>
      </c>
      <c r="AO1444" s="948"/>
      <c r="AP1444" s="924" t="s">
        <v>1044</v>
      </c>
      <c r="AQ1444" s="1242"/>
      <c r="AR1444" s="192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9"/>
      <c r="BQ1444" s="39"/>
      <c r="BR1444" s="39"/>
      <c r="BS1444" s="39"/>
      <c r="BT1444" s="39"/>
      <c r="BU1444" s="39"/>
      <c r="BV1444" s="39"/>
      <c r="BW1444" s="39"/>
      <c r="BX1444" s="39"/>
      <c r="BY1444" s="39"/>
      <c r="BZ1444" s="39"/>
      <c r="CA1444" s="39"/>
      <c r="CB1444" s="39"/>
      <c r="CC1444" s="39"/>
      <c r="CD1444" s="39"/>
      <c r="CE1444" s="39"/>
      <c r="CF1444" s="39"/>
      <c r="CG1444" s="39"/>
      <c r="CH1444" s="39"/>
    </row>
    <row r="1445" spans="1:86" s="40" customFormat="1" ht="18.75" customHeight="1" x14ac:dyDescent="0.25">
      <c r="A1445" s="1323"/>
      <c r="B1445" s="1324"/>
      <c r="C1445" s="1324"/>
      <c r="D1445" s="1324"/>
      <c r="E1445" s="1324"/>
      <c r="F1445" s="1324"/>
      <c r="G1445" s="1324"/>
      <c r="H1445" s="1324"/>
      <c r="I1445" s="1325"/>
      <c r="J1445" s="1288"/>
      <c r="K1445" s="948"/>
      <c r="L1445" s="924" t="s">
        <v>2</v>
      </c>
      <c r="M1445" s="1243"/>
      <c r="N1445" s="192"/>
      <c r="O1445" s="924"/>
      <c r="P1445" s="1288"/>
      <c r="Q1445" s="948"/>
      <c r="R1445" s="924" t="s">
        <v>2</v>
      </c>
      <c r="S1445" s="1243"/>
      <c r="T1445" s="192"/>
      <c r="U1445" s="924"/>
      <c r="V1445" s="1288"/>
      <c r="W1445" s="948"/>
      <c r="X1445" s="924" t="s">
        <v>2</v>
      </c>
      <c r="Y1445" s="1243"/>
      <c r="Z1445" s="192"/>
      <c r="AA1445" s="924"/>
      <c r="AB1445" s="1288"/>
      <c r="AC1445" s="948"/>
      <c r="AD1445" s="924" t="s">
        <v>2</v>
      </c>
      <c r="AE1445" s="1243"/>
      <c r="AF1445" s="192"/>
      <c r="AG1445" s="924"/>
      <c r="AH1445" s="1288"/>
      <c r="AI1445" s="948"/>
      <c r="AJ1445" s="924" t="s">
        <v>2</v>
      </c>
      <c r="AK1445" s="1243"/>
      <c r="AL1445" s="192"/>
      <c r="AM1445" s="924"/>
      <c r="AN1445" s="1288"/>
      <c r="AO1445" s="948"/>
      <c r="AP1445" s="924" t="s">
        <v>2</v>
      </c>
      <c r="AQ1445" s="1243"/>
      <c r="AR1445" s="192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9"/>
      <c r="BQ1445" s="39"/>
      <c r="BR1445" s="39"/>
      <c r="BS1445" s="39"/>
      <c r="BT1445" s="39"/>
      <c r="BU1445" s="39"/>
      <c r="BV1445" s="39"/>
      <c r="BW1445" s="39"/>
      <c r="BX1445" s="39"/>
      <c r="BY1445" s="39"/>
      <c r="BZ1445" s="39"/>
      <c r="CA1445" s="39"/>
      <c r="CB1445" s="39"/>
      <c r="CC1445" s="39"/>
      <c r="CD1445" s="39"/>
      <c r="CE1445" s="39"/>
      <c r="CF1445" s="39"/>
      <c r="CG1445" s="39"/>
      <c r="CH1445" s="39"/>
    </row>
    <row r="1446" spans="1:86" s="40" customFormat="1" ht="18.75" customHeight="1" x14ac:dyDescent="0.25">
      <c r="A1446" s="1323"/>
      <c r="B1446" s="1324"/>
      <c r="C1446" s="1324"/>
      <c r="D1446" s="1324"/>
      <c r="E1446" s="1324"/>
      <c r="F1446" s="1324"/>
      <c r="G1446" s="1324"/>
      <c r="H1446" s="1324"/>
      <c r="I1446" s="1325"/>
      <c r="J1446" s="1287"/>
      <c r="K1446" s="948"/>
      <c r="L1446" s="924" t="s">
        <v>4</v>
      </c>
      <c r="M1446" s="1244"/>
      <c r="N1446" s="192"/>
      <c r="O1446" s="924"/>
      <c r="P1446" s="1287"/>
      <c r="Q1446" s="948"/>
      <c r="R1446" s="924" t="s">
        <v>4</v>
      </c>
      <c r="S1446" s="1244"/>
      <c r="T1446" s="192"/>
      <c r="U1446" s="924"/>
      <c r="V1446" s="1287"/>
      <c r="W1446" s="948"/>
      <c r="X1446" s="924" t="s">
        <v>4</v>
      </c>
      <c r="Y1446" s="1244"/>
      <c r="Z1446" s="192"/>
      <c r="AA1446" s="924"/>
      <c r="AB1446" s="1287"/>
      <c r="AC1446" s="948"/>
      <c r="AD1446" s="924" t="s">
        <v>4</v>
      </c>
      <c r="AE1446" s="1244"/>
      <c r="AF1446" s="192"/>
      <c r="AG1446" s="924"/>
      <c r="AH1446" s="1287"/>
      <c r="AI1446" s="948"/>
      <c r="AJ1446" s="924" t="s">
        <v>4</v>
      </c>
      <c r="AK1446" s="1244"/>
      <c r="AL1446" s="192"/>
      <c r="AM1446" s="924"/>
      <c r="AN1446" s="1287"/>
      <c r="AO1446" s="948"/>
      <c r="AP1446" s="924" t="s">
        <v>4</v>
      </c>
      <c r="AQ1446" s="1244"/>
      <c r="AR1446" s="192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9"/>
      <c r="BQ1446" s="39"/>
      <c r="BR1446" s="39"/>
      <c r="BS1446" s="39"/>
      <c r="BT1446" s="39"/>
      <c r="BU1446" s="39"/>
      <c r="BV1446" s="39"/>
      <c r="BW1446" s="39"/>
      <c r="BX1446" s="39"/>
      <c r="BY1446" s="39"/>
      <c r="BZ1446" s="39"/>
      <c r="CA1446" s="39"/>
      <c r="CB1446" s="39"/>
      <c r="CC1446" s="39"/>
      <c r="CD1446" s="39"/>
      <c r="CE1446" s="39"/>
      <c r="CF1446" s="39"/>
      <c r="CG1446" s="39"/>
      <c r="CH1446" s="39"/>
    </row>
    <row r="1447" spans="1:86" s="40" customFormat="1" ht="18.75" customHeight="1" x14ac:dyDescent="0.25">
      <c r="A1447" s="1323"/>
      <c r="B1447" s="1324"/>
      <c r="C1447" s="1324"/>
      <c r="D1447" s="1324"/>
      <c r="E1447" s="1324"/>
      <c r="F1447" s="1324"/>
      <c r="G1447" s="1324"/>
      <c r="H1447" s="1324"/>
      <c r="I1447" s="1325"/>
      <c r="J1447" s="1286" t="s">
        <v>1039</v>
      </c>
      <c r="K1447" s="948"/>
      <c r="L1447" s="924" t="s">
        <v>1044</v>
      </c>
      <c r="M1447" s="1242"/>
      <c r="N1447" s="192"/>
      <c r="O1447" s="924"/>
      <c r="P1447" s="1286" t="s">
        <v>1039</v>
      </c>
      <c r="Q1447" s="948"/>
      <c r="R1447" s="924" t="s">
        <v>1044</v>
      </c>
      <c r="S1447" s="1242"/>
      <c r="T1447" s="192"/>
      <c r="U1447" s="924"/>
      <c r="V1447" s="1286" t="s">
        <v>1039</v>
      </c>
      <c r="W1447" s="948"/>
      <c r="X1447" s="924" t="s">
        <v>1044</v>
      </c>
      <c r="Y1447" s="1242"/>
      <c r="Z1447" s="192"/>
      <c r="AA1447" s="924"/>
      <c r="AB1447" s="1286" t="s">
        <v>1039</v>
      </c>
      <c r="AC1447" s="948"/>
      <c r="AD1447" s="924" t="s">
        <v>1044</v>
      </c>
      <c r="AE1447" s="1242"/>
      <c r="AF1447" s="192"/>
      <c r="AG1447" s="924"/>
      <c r="AH1447" s="1286" t="s">
        <v>1039</v>
      </c>
      <c r="AI1447" s="948"/>
      <c r="AJ1447" s="924" t="s">
        <v>1044</v>
      </c>
      <c r="AK1447" s="1242"/>
      <c r="AL1447" s="192"/>
      <c r="AM1447" s="924"/>
      <c r="AN1447" s="1286" t="s">
        <v>1039</v>
      </c>
      <c r="AO1447" s="948"/>
      <c r="AP1447" s="924" t="s">
        <v>1044</v>
      </c>
      <c r="AQ1447" s="1242"/>
      <c r="AR1447" s="192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9"/>
      <c r="BQ1447" s="39"/>
      <c r="BR1447" s="39"/>
      <c r="BS1447" s="39"/>
      <c r="BT1447" s="39"/>
      <c r="BU1447" s="39"/>
      <c r="BV1447" s="39"/>
      <c r="BW1447" s="39"/>
      <c r="BX1447" s="39"/>
      <c r="BY1447" s="39"/>
      <c r="BZ1447" s="39"/>
      <c r="CA1447" s="39"/>
      <c r="CB1447" s="39"/>
      <c r="CC1447" s="39"/>
      <c r="CD1447" s="39"/>
      <c r="CE1447" s="39"/>
      <c r="CF1447" s="39"/>
      <c r="CG1447" s="39"/>
      <c r="CH1447" s="39"/>
    </row>
    <row r="1448" spans="1:86" s="40" customFormat="1" ht="18.75" customHeight="1" x14ac:dyDescent="0.25">
      <c r="A1448" s="1323"/>
      <c r="B1448" s="1324"/>
      <c r="C1448" s="1324"/>
      <c r="D1448" s="1324"/>
      <c r="E1448" s="1324"/>
      <c r="F1448" s="1324"/>
      <c r="G1448" s="1324"/>
      <c r="H1448" s="1324"/>
      <c r="I1448" s="1325"/>
      <c r="J1448" s="1288"/>
      <c r="K1448" s="948"/>
      <c r="L1448" s="924" t="s">
        <v>2</v>
      </c>
      <c r="M1448" s="1243"/>
      <c r="N1448" s="192"/>
      <c r="O1448" s="924"/>
      <c r="P1448" s="1288"/>
      <c r="Q1448" s="948"/>
      <c r="R1448" s="924" t="s">
        <v>2</v>
      </c>
      <c r="S1448" s="1243"/>
      <c r="T1448" s="192"/>
      <c r="U1448" s="924"/>
      <c r="V1448" s="1288"/>
      <c r="W1448" s="948"/>
      <c r="X1448" s="924" t="s">
        <v>2</v>
      </c>
      <c r="Y1448" s="1243"/>
      <c r="Z1448" s="192"/>
      <c r="AA1448" s="924"/>
      <c r="AB1448" s="1288"/>
      <c r="AC1448" s="948"/>
      <c r="AD1448" s="924" t="s">
        <v>2</v>
      </c>
      <c r="AE1448" s="1243"/>
      <c r="AF1448" s="192"/>
      <c r="AG1448" s="924"/>
      <c r="AH1448" s="1288"/>
      <c r="AI1448" s="948"/>
      <c r="AJ1448" s="924" t="s">
        <v>2</v>
      </c>
      <c r="AK1448" s="1243"/>
      <c r="AL1448" s="192"/>
      <c r="AM1448" s="924"/>
      <c r="AN1448" s="1288"/>
      <c r="AO1448" s="948"/>
      <c r="AP1448" s="924" t="s">
        <v>2</v>
      </c>
      <c r="AQ1448" s="1243"/>
      <c r="AR1448" s="192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9"/>
      <c r="BQ1448" s="39"/>
      <c r="BR1448" s="39"/>
      <c r="BS1448" s="39"/>
      <c r="BT1448" s="39"/>
      <c r="BU1448" s="39"/>
      <c r="BV1448" s="39"/>
      <c r="BW1448" s="39"/>
      <c r="BX1448" s="39"/>
      <c r="BY1448" s="39"/>
      <c r="BZ1448" s="39"/>
      <c r="CA1448" s="39"/>
      <c r="CB1448" s="39"/>
      <c r="CC1448" s="39"/>
      <c r="CD1448" s="39"/>
      <c r="CE1448" s="39"/>
      <c r="CF1448" s="39"/>
      <c r="CG1448" s="39"/>
      <c r="CH1448" s="39"/>
    </row>
    <row r="1449" spans="1:86" s="40" customFormat="1" ht="18.75" customHeight="1" x14ac:dyDescent="0.25">
      <c r="A1449" s="1323"/>
      <c r="B1449" s="1324"/>
      <c r="C1449" s="1324"/>
      <c r="D1449" s="1324"/>
      <c r="E1449" s="1324"/>
      <c r="F1449" s="1324"/>
      <c r="G1449" s="1324"/>
      <c r="H1449" s="1324"/>
      <c r="I1449" s="1325"/>
      <c r="J1449" s="1287"/>
      <c r="K1449" s="948"/>
      <c r="L1449" s="924" t="s">
        <v>4</v>
      </c>
      <c r="M1449" s="1244"/>
      <c r="N1449" s="192"/>
      <c r="O1449" s="924"/>
      <c r="P1449" s="1287"/>
      <c r="Q1449" s="948"/>
      <c r="R1449" s="924" t="s">
        <v>4</v>
      </c>
      <c r="S1449" s="1244"/>
      <c r="T1449" s="192"/>
      <c r="U1449" s="924"/>
      <c r="V1449" s="1287"/>
      <c r="W1449" s="948"/>
      <c r="X1449" s="924" t="s">
        <v>4</v>
      </c>
      <c r="Y1449" s="1244"/>
      <c r="Z1449" s="192"/>
      <c r="AA1449" s="924"/>
      <c r="AB1449" s="1287"/>
      <c r="AC1449" s="948"/>
      <c r="AD1449" s="924" t="s">
        <v>4</v>
      </c>
      <c r="AE1449" s="1244"/>
      <c r="AF1449" s="192"/>
      <c r="AG1449" s="924"/>
      <c r="AH1449" s="1287"/>
      <c r="AI1449" s="948"/>
      <c r="AJ1449" s="924" t="s">
        <v>4</v>
      </c>
      <c r="AK1449" s="1244"/>
      <c r="AL1449" s="192"/>
      <c r="AM1449" s="924"/>
      <c r="AN1449" s="1287"/>
      <c r="AO1449" s="948"/>
      <c r="AP1449" s="924" t="s">
        <v>4</v>
      </c>
      <c r="AQ1449" s="1244"/>
      <c r="AR1449" s="192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9"/>
      <c r="BQ1449" s="39"/>
      <c r="BR1449" s="39"/>
      <c r="BS1449" s="39"/>
      <c r="BT1449" s="39"/>
      <c r="BU1449" s="39"/>
      <c r="BV1449" s="39"/>
      <c r="BW1449" s="39"/>
      <c r="BX1449" s="39"/>
      <c r="BY1449" s="39"/>
      <c r="BZ1449" s="39"/>
      <c r="CA1449" s="39"/>
      <c r="CB1449" s="39"/>
      <c r="CC1449" s="39"/>
      <c r="CD1449" s="39"/>
      <c r="CE1449" s="39"/>
      <c r="CF1449" s="39"/>
      <c r="CG1449" s="39"/>
      <c r="CH1449" s="39"/>
    </row>
    <row r="1450" spans="1:86" s="40" customFormat="1" ht="18.75" customHeight="1" x14ac:dyDescent="0.25">
      <c r="A1450" s="1323"/>
      <c r="B1450" s="1324"/>
      <c r="C1450" s="1324"/>
      <c r="D1450" s="1324"/>
      <c r="E1450" s="1324"/>
      <c r="F1450" s="1324"/>
      <c r="G1450" s="1324"/>
      <c r="H1450" s="1324"/>
      <c r="I1450" s="1325"/>
      <c r="J1450" s="1286" t="s">
        <v>1040</v>
      </c>
      <c r="K1450" s="948"/>
      <c r="L1450" s="924" t="s">
        <v>1044</v>
      </c>
      <c r="M1450" s="1242"/>
      <c r="N1450" s="192"/>
      <c r="O1450" s="924"/>
      <c r="P1450" s="1286" t="s">
        <v>1040</v>
      </c>
      <c r="Q1450" s="948"/>
      <c r="R1450" s="924" t="s">
        <v>1044</v>
      </c>
      <c r="S1450" s="1242"/>
      <c r="T1450" s="192"/>
      <c r="U1450" s="924"/>
      <c r="V1450" s="1286" t="s">
        <v>1040</v>
      </c>
      <c r="W1450" s="948"/>
      <c r="X1450" s="924" t="s">
        <v>1044</v>
      </c>
      <c r="Y1450" s="1242"/>
      <c r="Z1450" s="192"/>
      <c r="AA1450" s="924"/>
      <c r="AB1450" s="1286" t="s">
        <v>1040</v>
      </c>
      <c r="AC1450" s="948"/>
      <c r="AD1450" s="924" t="s">
        <v>1044</v>
      </c>
      <c r="AE1450" s="1242"/>
      <c r="AF1450" s="192"/>
      <c r="AG1450" s="924"/>
      <c r="AH1450" s="1286" t="s">
        <v>1040</v>
      </c>
      <c r="AI1450" s="948"/>
      <c r="AJ1450" s="924" t="s">
        <v>1044</v>
      </c>
      <c r="AK1450" s="1242"/>
      <c r="AL1450" s="192"/>
      <c r="AM1450" s="924"/>
      <c r="AN1450" s="1286" t="s">
        <v>1040</v>
      </c>
      <c r="AO1450" s="948"/>
      <c r="AP1450" s="924" t="s">
        <v>1044</v>
      </c>
      <c r="AQ1450" s="1242"/>
      <c r="AR1450" s="192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9"/>
      <c r="BQ1450" s="39"/>
      <c r="BR1450" s="39"/>
      <c r="BS1450" s="39"/>
      <c r="BT1450" s="39"/>
      <c r="BU1450" s="39"/>
      <c r="BV1450" s="39"/>
      <c r="BW1450" s="39"/>
      <c r="BX1450" s="39"/>
      <c r="BY1450" s="39"/>
      <c r="BZ1450" s="39"/>
      <c r="CA1450" s="39"/>
      <c r="CB1450" s="39"/>
      <c r="CC1450" s="39"/>
      <c r="CD1450" s="39"/>
      <c r="CE1450" s="39"/>
      <c r="CF1450" s="39"/>
      <c r="CG1450" s="39"/>
      <c r="CH1450" s="39"/>
    </row>
    <row r="1451" spans="1:86" s="40" customFormat="1" ht="18.75" customHeight="1" x14ac:dyDescent="0.25">
      <c r="A1451" s="1323"/>
      <c r="B1451" s="1324"/>
      <c r="C1451" s="1324"/>
      <c r="D1451" s="1324"/>
      <c r="E1451" s="1324"/>
      <c r="F1451" s="1324"/>
      <c r="G1451" s="1324"/>
      <c r="H1451" s="1324"/>
      <c r="I1451" s="1325"/>
      <c r="J1451" s="1288"/>
      <c r="K1451" s="948"/>
      <c r="L1451" s="924" t="s">
        <v>2</v>
      </c>
      <c r="M1451" s="1243"/>
      <c r="N1451" s="192"/>
      <c r="O1451" s="924"/>
      <c r="P1451" s="1288"/>
      <c r="Q1451" s="948"/>
      <c r="R1451" s="924" t="s">
        <v>2</v>
      </c>
      <c r="S1451" s="1243"/>
      <c r="T1451" s="192"/>
      <c r="U1451" s="924"/>
      <c r="V1451" s="1288"/>
      <c r="W1451" s="948"/>
      <c r="X1451" s="924" t="s">
        <v>2</v>
      </c>
      <c r="Y1451" s="1243"/>
      <c r="Z1451" s="192"/>
      <c r="AA1451" s="924"/>
      <c r="AB1451" s="1288"/>
      <c r="AC1451" s="948"/>
      <c r="AD1451" s="924" t="s">
        <v>2</v>
      </c>
      <c r="AE1451" s="1243"/>
      <c r="AF1451" s="192"/>
      <c r="AG1451" s="924"/>
      <c r="AH1451" s="1288"/>
      <c r="AI1451" s="948"/>
      <c r="AJ1451" s="924" t="s">
        <v>2</v>
      </c>
      <c r="AK1451" s="1243"/>
      <c r="AL1451" s="192"/>
      <c r="AM1451" s="924"/>
      <c r="AN1451" s="1288"/>
      <c r="AO1451" s="948"/>
      <c r="AP1451" s="924" t="s">
        <v>2</v>
      </c>
      <c r="AQ1451" s="1243"/>
      <c r="AR1451" s="192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9"/>
      <c r="BQ1451" s="39"/>
      <c r="BR1451" s="39"/>
      <c r="BS1451" s="39"/>
      <c r="BT1451" s="39"/>
      <c r="BU1451" s="39"/>
      <c r="BV1451" s="39"/>
      <c r="BW1451" s="39"/>
      <c r="BX1451" s="39"/>
      <c r="BY1451" s="39"/>
      <c r="BZ1451" s="39"/>
      <c r="CA1451" s="39"/>
      <c r="CB1451" s="39"/>
      <c r="CC1451" s="39"/>
      <c r="CD1451" s="39"/>
      <c r="CE1451" s="39"/>
      <c r="CF1451" s="39"/>
      <c r="CG1451" s="39"/>
      <c r="CH1451" s="39"/>
    </row>
    <row r="1452" spans="1:86" s="40" customFormat="1" ht="18.75" customHeight="1" x14ac:dyDescent="0.25">
      <c r="A1452" s="1323"/>
      <c r="B1452" s="1324"/>
      <c r="C1452" s="1324"/>
      <c r="D1452" s="1324"/>
      <c r="E1452" s="1324"/>
      <c r="F1452" s="1324"/>
      <c r="G1452" s="1324"/>
      <c r="H1452" s="1324"/>
      <c r="I1452" s="1325"/>
      <c r="J1452" s="1287"/>
      <c r="K1452" s="948"/>
      <c r="L1452" s="924" t="s">
        <v>4</v>
      </c>
      <c r="M1452" s="1244"/>
      <c r="N1452" s="192"/>
      <c r="O1452" s="924"/>
      <c r="P1452" s="1287"/>
      <c r="Q1452" s="948"/>
      <c r="R1452" s="924" t="s">
        <v>4</v>
      </c>
      <c r="S1452" s="1244"/>
      <c r="T1452" s="192"/>
      <c r="U1452" s="924"/>
      <c r="V1452" s="1287"/>
      <c r="W1452" s="948"/>
      <c r="X1452" s="924" t="s">
        <v>4</v>
      </c>
      <c r="Y1452" s="1244"/>
      <c r="Z1452" s="192"/>
      <c r="AA1452" s="924"/>
      <c r="AB1452" s="1287"/>
      <c r="AC1452" s="948"/>
      <c r="AD1452" s="924" t="s">
        <v>4</v>
      </c>
      <c r="AE1452" s="1244"/>
      <c r="AF1452" s="192"/>
      <c r="AG1452" s="924"/>
      <c r="AH1452" s="1287"/>
      <c r="AI1452" s="948"/>
      <c r="AJ1452" s="924" t="s">
        <v>4</v>
      </c>
      <c r="AK1452" s="1244"/>
      <c r="AL1452" s="192"/>
      <c r="AM1452" s="924"/>
      <c r="AN1452" s="1287"/>
      <c r="AO1452" s="948"/>
      <c r="AP1452" s="924" t="s">
        <v>4</v>
      </c>
      <c r="AQ1452" s="1244"/>
      <c r="AR1452" s="192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9"/>
      <c r="BQ1452" s="39"/>
      <c r="BR1452" s="39"/>
      <c r="BS1452" s="39"/>
      <c r="BT1452" s="39"/>
      <c r="BU1452" s="39"/>
      <c r="BV1452" s="39"/>
      <c r="BW1452" s="39"/>
      <c r="BX1452" s="39"/>
      <c r="BY1452" s="39"/>
      <c r="BZ1452" s="39"/>
      <c r="CA1452" s="39"/>
      <c r="CB1452" s="39"/>
      <c r="CC1452" s="39"/>
      <c r="CD1452" s="39"/>
      <c r="CE1452" s="39"/>
      <c r="CF1452" s="39"/>
      <c r="CG1452" s="39"/>
      <c r="CH1452" s="39"/>
    </row>
    <row r="1453" spans="1:86" s="40" customFormat="1" ht="21.75" customHeight="1" x14ac:dyDescent="0.25">
      <c r="A1453" s="1323"/>
      <c r="B1453" s="1324"/>
      <c r="C1453" s="1324"/>
      <c r="D1453" s="1324"/>
      <c r="E1453" s="1324"/>
      <c r="F1453" s="1324"/>
      <c r="G1453" s="1324"/>
      <c r="H1453" s="1324"/>
      <c r="I1453" s="1325"/>
      <c r="J1453" s="921" t="s">
        <v>1051</v>
      </c>
      <c r="K1453" s="948"/>
      <c r="L1453" s="924" t="s">
        <v>2</v>
      </c>
      <c r="M1453" s="270"/>
      <c r="N1453" s="192"/>
      <c r="O1453" s="924"/>
      <c r="P1453" s="558" t="s">
        <v>6</v>
      </c>
      <c r="Q1453" s="547">
        <f>Q139+Q143+Q150+Q158+Q162+Q492+Q512+Q528+Q540+Q543+Q550+Q561+Q572+Q575+Q581+Q497</f>
        <v>12.630599999999998</v>
      </c>
      <c r="R1453" s="559" t="s">
        <v>2</v>
      </c>
      <c r="S1453" s="604">
        <f>S139+S143+S150+S158+S162+S492+S512+S528+S540+S543+S550+S561+S572+S575+S581+S497</f>
        <v>123.69934000000001</v>
      </c>
      <c r="T1453" s="192"/>
      <c r="U1453" s="924"/>
      <c r="V1453" s="921" t="s">
        <v>6</v>
      </c>
      <c r="W1453" s="948">
        <f>W851+W174+W177+W188+W180+W506+W554+W557+W565+W568+W600+W617+W621</f>
        <v>50.640499999999996</v>
      </c>
      <c r="X1453" s="924" t="s">
        <v>2</v>
      </c>
      <c r="Y1453" s="948">
        <f>Y851+Y174+Y177+Y188+Y180+Y506+Y554+Y557+Y565+Y568+Y600+Y617+Y621</f>
        <v>8347.5785999999989</v>
      </c>
      <c r="Z1453" s="192"/>
      <c r="AA1453" s="924"/>
      <c r="AB1453" s="921" t="s">
        <v>6</v>
      </c>
      <c r="AC1453" s="948"/>
      <c r="AD1453" s="924" t="s">
        <v>2</v>
      </c>
      <c r="AE1453" s="270"/>
      <c r="AF1453" s="192"/>
      <c r="AG1453" s="924"/>
      <c r="AH1453" s="921" t="s">
        <v>6</v>
      </c>
      <c r="AI1453" s="948"/>
      <c r="AJ1453" s="924" t="s">
        <v>2</v>
      </c>
      <c r="AK1453" s="270"/>
      <c r="AL1453" s="192"/>
      <c r="AM1453" s="924"/>
      <c r="AN1453" s="921" t="s">
        <v>6</v>
      </c>
      <c r="AO1453" s="948"/>
      <c r="AP1453" s="924" t="s">
        <v>2</v>
      </c>
      <c r="AQ1453" s="270"/>
      <c r="AR1453" s="192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9"/>
      <c r="BQ1453" s="39"/>
      <c r="BR1453" s="39"/>
      <c r="BS1453" s="39"/>
      <c r="BT1453" s="39"/>
      <c r="BU1453" s="39"/>
      <c r="BV1453" s="39"/>
      <c r="BW1453" s="39"/>
      <c r="BX1453" s="39"/>
      <c r="BY1453" s="39"/>
      <c r="BZ1453" s="39"/>
      <c r="CA1453" s="39"/>
      <c r="CB1453" s="39"/>
      <c r="CC1453" s="39"/>
      <c r="CD1453" s="39"/>
      <c r="CE1453" s="39"/>
      <c r="CF1453" s="39"/>
      <c r="CG1453" s="39"/>
      <c r="CH1453" s="39"/>
    </row>
    <row r="1454" spans="1:86" s="40" customFormat="1" ht="67.5" customHeight="1" x14ac:dyDescent="0.25">
      <c r="A1454" s="1323"/>
      <c r="B1454" s="1324"/>
      <c r="C1454" s="1324"/>
      <c r="D1454" s="1324"/>
      <c r="E1454" s="1324"/>
      <c r="F1454" s="1324"/>
      <c r="G1454" s="1324"/>
      <c r="H1454" s="1324"/>
      <c r="I1454" s="1325"/>
      <c r="J1454" s="233" t="s">
        <v>1052</v>
      </c>
      <c r="K1454" s="160">
        <f>K472+K477+K456</f>
        <v>4</v>
      </c>
      <c r="L1454" s="924" t="s">
        <v>8</v>
      </c>
      <c r="M1454" s="948">
        <f>M472+M477</f>
        <v>354.56579000000005</v>
      </c>
      <c r="N1454" s="192"/>
      <c r="O1454" s="924"/>
      <c r="P1454" s="233" t="s">
        <v>7</v>
      </c>
      <c r="Q1454" s="160">
        <f>Q470+Q479</f>
        <v>2</v>
      </c>
      <c r="R1454" s="924" t="s">
        <v>8</v>
      </c>
      <c r="S1454" s="547">
        <f>S470+S479</f>
        <v>5602.1451999999999</v>
      </c>
      <c r="T1454" s="192"/>
      <c r="U1454" s="924"/>
      <c r="V1454" s="233" t="s">
        <v>7</v>
      </c>
      <c r="W1454" s="948">
        <f>W475+W482</f>
        <v>2</v>
      </c>
      <c r="X1454" s="924" t="s">
        <v>8</v>
      </c>
      <c r="Y1454" s="948">
        <f>Y475+Y482</f>
        <v>1750</v>
      </c>
      <c r="Z1454" s="192"/>
      <c r="AA1454" s="924"/>
      <c r="AB1454" s="233" t="s">
        <v>7</v>
      </c>
      <c r="AC1454" s="948"/>
      <c r="AD1454" s="924" t="s">
        <v>8</v>
      </c>
      <c r="AE1454" s="948"/>
      <c r="AF1454" s="192"/>
      <c r="AG1454" s="924"/>
      <c r="AH1454" s="233" t="s">
        <v>7</v>
      </c>
      <c r="AI1454" s="948"/>
      <c r="AJ1454" s="924" t="s">
        <v>8</v>
      </c>
      <c r="AK1454" s="948"/>
      <c r="AL1454" s="192"/>
      <c r="AM1454" s="924"/>
      <c r="AN1454" s="233" t="s">
        <v>7</v>
      </c>
      <c r="AO1454" s="948"/>
      <c r="AP1454" s="924" t="s">
        <v>8</v>
      </c>
      <c r="AQ1454" s="948"/>
      <c r="AR1454" s="192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9"/>
      <c r="BQ1454" s="39"/>
      <c r="BR1454" s="39"/>
      <c r="BS1454" s="39"/>
      <c r="BT1454" s="39"/>
      <c r="BU1454" s="39"/>
      <c r="BV1454" s="39"/>
      <c r="BW1454" s="39"/>
      <c r="BX1454" s="39"/>
      <c r="BY1454" s="39"/>
      <c r="BZ1454" s="39"/>
      <c r="CA1454" s="39"/>
      <c r="CB1454" s="39"/>
      <c r="CC1454" s="39"/>
      <c r="CD1454" s="39"/>
      <c r="CE1454" s="39"/>
      <c r="CF1454" s="39"/>
      <c r="CG1454" s="39"/>
      <c r="CH1454" s="39"/>
    </row>
    <row r="1455" spans="1:86" s="40" customFormat="1" ht="54.6" customHeight="1" x14ac:dyDescent="0.25">
      <c r="A1455" s="1323"/>
      <c r="B1455" s="1324"/>
      <c r="C1455" s="1324"/>
      <c r="D1455" s="1324"/>
      <c r="E1455" s="1324"/>
      <c r="F1455" s="1324"/>
      <c r="G1455" s="1324"/>
      <c r="H1455" s="1324"/>
      <c r="I1455" s="1325"/>
      <c r="J1455" s="233" t="s">
        <v>1053</v>
      </c>
      <c r="K1455" s="948">
        <f>K473+K457</f>
        <v>148</v>
      </c>
      <c r="L1455" s="924" t="s">
        <v>8</v>
      </c>
      <c r="M1455" s="948">
        <f>M473</f>
        <v>46.398809999999997</v>
      </c>
      <c r="N1455" s="192"/>
      <c r="O1455" s="924"/>
      <c r="P1455" s="560" t="s">
        <v>35</v>
      </c>
      <c r="Q1455" s="547">
        <f>Q1095</f>
        <v>6</v>
      </c>
      <c r="R1455" s="559" t="s">
        <v>8</v>
      </c>
      <c r="S1455" s="547">
        <f>S1095</f>
        <v>25.95</v>
      </c>
      <c r="T1455" s="192"/>
      <c r="U1455" s="924"/>
      <c r="V1455" s="233" t="s">
        <v>35</v>
      </c>
      <c r="W1455" s="948">
        <f>W852+W569+W601+W618+W622</f>
        <v>43</v>
      </c>
      <c r="X1455" s="924" t="s">
        <v>8</v>
      </c>
      <c r="Y1455" s="948">
        <f>Y852+Y569+Y601+Y618+Y622</f>
        <v>439.76800000000003</v>
      </c>
      <c r="Z1455" s="192"/>
      <c r="AA1455" s="924"/>
      <c r="AB1455" s="233" t="s">
        <v>35</v>
      </c>
      <c r="AC1455" s="948"/>
      <c r="AD1455" s="924" t="s">
        <v>8</v>
      </c>
      <c r="AE1455" s="270"/>
      <c r="AF1455" s="192"/>
      <c r="AG1455" s="924"/>
      <c r="AH1455" s="233" t="s">
        <v>35</v>
      </c>
      <c r="AI1455" s="948"/>
      <c r="AJ1455" s="924" t="s">
        <v>8</v>
      </c>
      <c r="AK1455" s="270"/>
      <c r="AL1455" s="192"/>
      <c r="AM1455" s="924"/>
      <c r="AN1455" s="233" t="s">
        <v>35</v>
      </c>
      <c r="AO1455" s="948"/>
      <c r="AP1455" s="924" t="s">
        <v>8</v>
      </c>
      <c r="AQ1455" s="270"/>
      <c r="AR1455" s="192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9"/>
      <c r="BQ1455" s="39"/>
      <c r="BR1455" s="39"/>
      <c r="BS1455" s="39"/>
      <c r="BT1455" s="39"/>
      <c r="BU1455" s="39"/>
      <c r="BV1455" s="39"/>
      <c r="BW1455" s="39"/>
      <c r="BX1455" s="39"/>
      <c r="BY1455" s="39"/>
      <c r="BZ1455" s="39"/>
      <c r="CA1455" s="39"/>
      <c r="CB1455" s="39"/>
      <c r="CC1455" s="39"/>
      <c r="CD1455" s="39"/>
      <c r="CE1455" s="39"/>
      <c r="CF1455" s="39"/>
      <c r="CG1455" s="39"/>
      <c r="CH1455" s="39"/>
    </row>
    <row r="1456" spans="1:86" s="40" customFormat="1" ht="51.75" customHeight="1" x14ac:dyDescent="0.25">
      <c r="A1456" s="1323"/>
      <c r="B1456" s="1324"/>
      <c r="C1456" s="1324"/>
      <c r="D1456" s="1324"/>
      <c r="E1456" s="1324"/>
      <c r="F1456" s="1324"/>
      <c r="G1456" s="1324"/>
      <c r="H1456" s="1324"/>
      <c r="I1456" s="1325"/>
      <c r="J1456" s="233" t="s">
        <v>1041</v>
      </c>
      <c r="K1456" s="948"/>
      <c r="L1456" s="924" t="s">
        <v>1044</v>
      </c>
      <c r="M1456" s="270"/>
      <c r="N1456" s="192"/>
      <c r="O1456" s="924"/>
      <c r="P1456" s="560" t="s">
        <v>1041</v>
      </c>
      <c r="Q1456" s="547">
        <f>Q100+Q105+Q119+Q126+Q132+Q576+Q582</f>
        <v>203.32999999999998</v>
      </c>
      <c r="R1456" s="559" t="s">
        <v>1044</v>
      </c>
      <c r="S1456" s="547">
        <f>S100+S105+S119+S126+S132+S576+S582</f>
        <v>1775.4206100000001</v>
      </c>
      <c r="T1456" s="192"/>
      <c r="U1456" s="924"/>
      <c r="V1456" s="233" t="s">
        <v>1041</v>
      </c>
      <c r="W1456" s="948">
        <f>W181</f>
        <v>50</v>
      </c>
      <c r="X1456" s="924" t="s">
        <v>1044</v>
      </c>
      <c r="Y1456" s="948">
        <f>Y181</f>
        <v>6.2839999999999998</v>
      </c>
      <c r="Z1456" s="192"/>
      <c r="AA1456" s="924"/>
      <c r="AB1456" s="233" t="s">
        <v>1041</v>
      </c>
      <c r="AC1456" s="948"/>
      <c r="AD1456" s="924" t="s">
        <v>1044</v>
      </c>
      <c r="AE1456" s="270"/>
      <c r="AF1456" s="192"/>
      <c r="AG1456" s="924"/>
      <c r="AH1456" s="233" t="s">
        <v>1041</v>
      </c>
      <c r="AI1456" s="948"/>
      <c r="AJ1456" s="924" t="s">
        <v>1044</v>
      </c>
      <c r="AK1456" s="270"/>
      <c r="AL1456" s="192"/>
      <c r="AM1456" s="924"/>
      <c r="AN1456" s="233" t="s">
        <v>1041</v>
      </c>
      <c r="AO1456" s="948"/>
      <c r="AP1456" s="924" t="s">
        <v>1044</v>
      </c>
      <c r="AQ1456" s="270"/>
      <c r="AR1456" s="192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9"/>
      <c r="BQ1456" s="39"/>
      <c r="BR1456" s="39"/>
      <c r="BS1456" s="39"/>
      <c r="BT1456" s="39"/>
      <c r="BU1456" s="39"/>
      <c r="BV1456" s="39"/>
      <c r="BW1456" s="39"/>
      <c r="BX1456" s="39"/>
      <c r="BY1456" s="39"/>
      <c r="BZ1456" s="39"/>
      <c r="CA1456" s="39"/>
      <c r="CB1456" s="39"/>
      <c r="CC1456" s="39"/>
      <c r="CD1456" s="39"/>
      <c r="CE1456" s="39"/>
      <c r="CF1456" s="39"/>
      <c r="CG1456" s="39"/>
      <c r="CH1456" s="39"/>
    </row>
    <row r="1457" spans="1:1025" s="40" customFormat="1" ht="27.6" customHeight="1" x14ac:dyDescent="0.25">
      <c r="A1457" s="1323"/>
      <c r="B1457" s="1324"/>
      <c r="C1457" s="1324"/>
      <c r="D1457" s="1324"/>
      <c r="E1457" s="1324"/>
      <c r="F1457" s="1324"/>
      <c r="G1457" s="1324"/>
      <c r="H1457" s="1324"/>
      <c r="I1457" s="1325"/>
      <c r="J1457" s="233" t="s">
        <v>11</v>
      </c>
      <c r="K1457" s="948">
        <f>K21+K24+K34+K37+K40+K47+K55+K66+K80+K87</f>
        <v>7580.12</v>
      </c>
      <c r="L1457" s="924" t="s">
        <v>4</v>
      </c>
      <c r="M1457" s="948">
        <f>M21+M24+M34+M37+M40+M47+M55+M66+M80+M87</f>
        <v>16111.005030000002</v>
      </c>
      <c r="N1457" s="192"/>
      <c r="O1457" s="924"/>
      <c r="P1457" s="560" t="s">
        <v>11</v>
      </c>
      <c r="Q1457" s="547">
        <f>Q101+Q106+Q110+Q114+Q120+Q127+Q133+Q140+Q144+Q147+Q151+Q154+Q159+Q163+Q493+Q577+Q1106+Q1098+Q1101</f>
        <v>90422.510000000009</v>
      </c>
      <c r="R1457" s="559" t="s">
        <v>4</v>
      </c>
      <c r="S1457" s="547">
        <f>S101+S106+S110+S114+S120+S127+S133+S140+S144+S147+S151+S154+S159+S163+S493+S577+S1106+S1098+S1101+S1109+S1112</f>
        <v>86852.716199999981</v>
      </c>
      <c r="T1457" s="192"/>
      <c r="U1457" s="924"/>
      <c r="V1457" s="233" t="s">
        <v>11</v>
      </c>
      <c r="W1457" s="948"/>
      <c r="X1457" s="924" t="s">
        <v>4</v>
      </c>
      <c r="Y1457" s="948"/>
      <c r="Z1457" s="192"/>
      <c r="AA1457" s="924"/>
      <c r="AB1457" s="233" t="s">
        <v>11</v>
      </c>
      <c r="AC1457" s="948"/>
      <c r="AD1457" s="924" t="s">
        <v>4</v>
      </c>
      <c r="AE1457" s="270"/>
      <c r="AF1457" s="192"/>
      <c r="AG1457" s="924"/>
      <c r="AH1457" s="233" t="s">
        <v>11</v>
      </c>
      <c r="AI1457" s="948"/>
      <c r="AJ1457" s="924" t="s">
        <v>4</v>
      </c>
      <c r="AK1457" s="270"/>
      <c r="AL1457" s="192"/>
      <c r="AM1457" s="924"/>
      <c r="AN1457" s="233" t="s">
        <v>11</v>
      </c>
      <c r="AO1457" s="948"/>
      <c r="AP1457" s="924" t="s">
        <v>4</v>
      </c>
      <c r="AQ1457" s="270"/>
      <c r="AR1457" s="192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9"/>
      <c r="BQ1457" s="39"/>
      <c r="BR1457" s="39"/>
      <c r="BS1457" s="39"/>
      <c r="BT1457" s="39"/>
      <c r="BU1457" s="39"/>
      <c r="BV1457" s="39"/>
      <c r="BW1457" s="39"/>
      <c r="BX1457" s="39"/>
      <c r="BY1457" s="39"/>
      <c r="BZ1457" s="39"/>
      <c r="CA1457" s="39"/>
      <c r="CB1457" s="39"/>
      <c r="CC1457" s="39"/>
      <c r="CD1457" s="39"/>
      <c r="CE1457" s="39"/>
      <c r="CF1457" s="39"/>
      <c r="CG1457" s="39"/>
      <c r="CH1457" s="39"/>
    </row>
    <row r="1458" spans="1:1025" s="40" customFormat="1" ht="35.25" customHeight="1" x14ac:dyDescent="0.25">
      <c r="A1458" s="1323"/>
      <c r="B1458" s="1324"/>
      <c r="C1458" s="1324"/>
      <c r="D1458" s="1324"/>
      <c r="E1458" s="1324"/>
      <c r="F1458" s="1324"/>
      <c r="G1458" s="1324"/>
      <c r="H1458" s="1324"/>
      <c r="I1458" s="1325"/>
      <c r="J1458" s="233" t="s">
        <v>1042</v>
      </c>
      <c r="K1458" s="948"/>
      <c r="L1458" s="924" t="s">
        <v>1044</v>
      </c>
      <c r="M1458" s="270"/>
      <c r="N1458" s="192"/>
      <c r="O1458" s="924"/>
      <c r="P1458" s="560" t="s">
        <v>1042</v>
      </c>
      <c r="Q1458" s="547"/>
      <c r="R1458" s="559" t="s">
        <v>1044</v>
      </c>
      <c r="S1458" s="2510"/>
      <c r="T1458" s="192"/>
      <c r="U1458" s="924"/>
      <c r="V1458" s="233" t="s">
        <v>1042</v>
      </c>
      <c r="W1458" s="948"/>
      <c r="X1458" s="924" t="s">
        <v>1044</v>
      </c>
      <c r="Y1458" s="270"/>
      <c r="Z1458" s="192"/>
      <c r="AA1458" s="924"/>
      <c r="AB1458" s="233" t="s">
        <v>1042</v>
      </c>
      <c r="AC1458" s="948"/>
      <c r="AD1458" s="924" t="s">
        <v>1044</v>
      </c>
      <c r="AE1458" s="270"/>
      <c r="AF1458" s="192"/>
      <c r="AG1458" s="924"/>
      <c r="AH1458" s="233" t="s">
        <v>1042</v>
      </c>
      <c r="AI1458" s="948"/>
      <c r="AJ1458" s="924" t="s">
        <v>1044</v>
      </c>
      <c r="AK1458" s="270"/>
      <c r="AL1458" s="192"/>
      <c r="AM1458" s="924"/>
      <c r="AN1458" s="233" t="s">
        <v>1042</v>
      </c>
      <c r="AO1458" s="948"/>
      <c r="AP1458" s="924" t="s">
        <v>1044</v>
      </c>
      <c r="AQ1458" s="270"/>
      <c r="AR1458" s="192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9"/>
      <c r="BQ1458" s="39"/>
      <c r="BR1458" s="39"/>
      <c r="BS1458" s="39"/>
      <c r="BT1458" s="39"/>
      <c r="BU1458" s="39"/>
      <c r="BV1458" s="39"/>
      <c r="BW1458" s="39"/>
      <c r="BX1458" s="39"/>
      <c r="BY1458" s="39"/>
      <c r="BZ1458" s="39"/>
      <c r="CA1458" s="39"/>
      <c r="CB1458" s="39"/>
      <c r="CC1458" s="39"/>
      <c r="CD1458" s="39"/>
      <c r="CE1458" s="39"/>
      <c r="CF1458" s="39"/>
      <c r="CG1458" s="39"/>
      <c r="CH1458" s="39"/>
    </row>
    <row r="1459" spans="1:1025" s="40" customFormat="1" ht="45.75" customHeight="1" x14ac:dyDescent="0.25">
      <c r="A1459" s="1323"/>
      <c r="B1459" s="1324"/>
      <c r="C1459" s="1324"/>
      <c r="D1459" s="1324"/>
      <c r="E1459" s="1324"/>
      <c r="F1459" s="1324"/>
      <c r="G1459" s="1324"/>
      <c r="H1459" s="1324"/>
      <c r="I1459" s="1325"/>
      <c r="J1459" s="233" t="s">
        <v>37</v>
      </c>
      <c r="K1459" s="948"/>
      <c r="L1459" s="924" t="s">
        <v>1044</v>
      </c>
      <c r="M1459" s="270"/>
      <c r="N1459" s="192"/>
      <c r="O1459" s="924"/>
      <c r="P1459" s="233" t="s">
        <v>37</v>
      </c>
      <c r="Q1459" s="948"/>
      <c r="R1459" s="924" t="s">
        <v>1044</v>
      </c>
      <c r="S1459" s="2510"/>
      <c r="T1459" s="192"/>
      <c r="U1459" s="924"/>
      <c r="V1459" s="233" t="s">
        <v>37</v>
      </c>
      <c r="W1459" s="948"/>
      <c r="X1459" s="924" t="s">
        <v>1044</v>
      </c>
      <c r="Y1459" s="270"/>
      <c r="Z1459" s="192"/>
      <c r="AA1459" s="924"/>
      <c r="AB1459" s="233" t="s">
        <v>37</v>
      </c>
      <c r="AC1459" s="948"/>
      <c r="AD1459" s="924" t="s">
        <v>1044</v>
      </c>
      <c r="AE1459" s="270"/>
      <c r="AF1459" s="192"/>
      <c r="AG1459" s="924"/>
      <c r="AH1459" s="233" t="s">
        <v>37</v>
      </c>
      <c r="AI1459" s="948"/>
      <c r="AJ1459" s="924" t="s">
        <v>1044</v>
      </c>
      <c r="AK1459" s="270"/>
      <c r="AL1459" s="192"/>
      <c r="AM1459" s="924"/>
      <c r="AN1459" s="233" t="s">
        <v>37</v>
      </c>
      <c r="AO1459" s="948"/>
      <c r="AP1459" s="924" t="s">
        <v>1044</v>
      </c>
      <c r="AQ1459" s="270"/>
      <c r="AR1459" s="192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9"/>
      <c r="BQ1459" s="39"/>
      <c r="BR1459" s="39"/>
      <c r="BS1459" s="39"/>
      <c r="BT1459" s="39"/>
      <c r="BU1459" s="39"/>
      <c r="BV1459" s="39"/>
      <c r="BW1459" s="39"/>
      <c r="BX1459" s="39"/>
      <c r="BY1459" s="39"/>
      <c r="BZ1459" s="39"/>
      <c r="CA1459" s="39"/>
      <c r="CB1459" s="39"/>
      <c r="CC1459" s="39"/>
      <c r="CD1459" s="39"/>
      <c r="CE1459" s="39"/>
      <c r="CF1459" s="39"/>
      <c r="CG1459" s="39"/>
      <c r="CH1459" s="39"/>
    </row>
    <row r="1460" spans="1:1025" s="40" customFormat="1" ht="22.15" customHeight="1" x14ac:dyDescent="0.25">
      <c r="A1460" s="1323"/>
      <c r="B1460" s="1324"/>
      <c r="C1460" s="1324"/>
      <c r="D1460" s="1324"/>
      <c r="E1460" s="1324"/>
      <c r="F1460" s="1324"/>
      <c r="G1460" s="1324"/>
      <c r="H1460" s="1324"/>
      <c r="I1460" s="1325"/>
      <c r="J1460" s="233" t="s">
        <v>671</v>
      </c>
      <c r="K1460" s="948"/>
      <c r="L1460" s="924" t="s">
        <v>4</v>
      </c>
      <c r="M1460" s="270"/>
      <c r="N1460" s="192"/>
      <c r="O1460" s="924"/>
      <c r="P1460" s="560" t="s">
        <v>671</v>
      </c>
      <c r="Q1460" s="547"/>
      <c r="R1460" s="559" t="s">
        <v>4</v>
      </c>
      <c r="S1460" s="2510"/>
      <c r="T1460" s="192"/>
      <c r="U1460" s="924"/>
      <c r="V1460" s="233" t="s">
        <v>671</v>
      </c>
      <c r="W1460" s="948"/>
      <c r="X1460" s="924" t="s">
        <v>4</v>
      </c>
      <c r="Y1460" s="270"/>
      <c r="Z1460" s="192"/>
      <c r="AA1460" s="924"/>
      <c r="AB1460" s="233" t="s">
        <v>671</v>
      </c>
      <c r="AC1460" s="948"/>
      <c r="AD1460" s="924" t="s">
        <v>4</v>
      </c>
      <c r="AE1460" s="270"/>
      <c r="AF1460" s="192"/>
      <c r="AG1460" s="924"/>
      <c r="AH1460" s="233" t="s">
        <v>671</v>
      </c>
      <c r="AI1460" s="948"/>
      <c r="AJ1460" s="924" t="s">
        <v>4</v>
      </c>
      <c r="AK1460" s="270"/>
      <c r="AL1460" s="192"/>
      <c r="AM1460" s="924"/>
      <c r="AN1460" s="233" t="s">
        <v>671</v>
      </c>
      <c r="AO1460" s="948"/>
      <c r="AP1460" s="924" t="s">
        <v>4</v>
      </c>
      <c r="AQ1460" s="270"/>
      <c r="AR1460" s="192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9"/>
      <c r="BQ1460" s="39"/>
      <c r="BR1460" s="39"/>
      <c r="BS1460" s="39"/>
      <c r="BT1460" s="39"/>
      <c r="BU1460" s="39"/>
      <c r="BV1460" s="39"/>
      <c r="BW1460" s="39"/>
      <c r="BX1460" s="39"/>
      <c r="BY1460" s="39"/>
      <c r="BZ1460" s="39"/>
      <c r="CA1460" s="39"/>
      <c r="CB1460" s="39"/>
      <c r="CC1460" s="39"/>
      <c r="CD1460" s="39"/>
      <c r="CE1460" s="39"/>
      <c r="CF1460" s="39"/>
      <c r="CG1460" s="39"/>
      <c r="CH1460" s="39"/>
    </row>
    <row r="1461" spans="1:1025" s="40" customFormat="1" ht="45" customHeight="1" x14ac:dyDescent="0.25">
      <c r="A1461" s="1323"/>
      <c r="B1461" s="1324"/>
      <c r="C1461" s="1324"/>
      <c r="D1461" s="1324"/>
      <c r="E1461" s="1324"/>
      <c r="F1461" s="1324"/>
      <c r="G1461" s="1324"/>
      <c r="H1461" s="1324"/>
      <c r="I1461" s="1325"/>
      <c r="J1461" s="233" t="s">
        <v>672</v>
      </c>
      <c r="K1461" s="948"/>
      <c r="L1461" s="924" t="s">
        <v>4</v>
      </c>
      <c r="M1461" s="270"/>
      <c r="N1461" s="192"/>
      <c r="O1461" s="924"/>
      <c r="P1461" s="233" t="s">
        <v>672</v>
      </c>
      <c r="Q1461" s="948"/>
      <c r="R1461" s="924" t="s">
        <v>4</v>
      </c>
      <c r="S1461" s="2510"/>
      <c r="T1461" s="192"/>
      <c r="U1461" s="924"/>
      <c r="V1461" s="233" t="s">
        <v>672</v>
      </c>
      <c r="W1461" s="948"/>
      <c r="X1461" s="924" t="s">
        <v>4</v>
      </c>
      <c r="Y1461" s="270"/>
      <c r="Z1461" s="192"/>
      <c r="AA1461" s="924"/>
      <c r="AB1461" s="233" t="s">
        <v>672</v>
      </c>
      <c r="AC1461" s="948"/>
      <c r="AD1461" s="924" t="s">
        <v>4</v>
      </c>
      <c r="AE1461" s="270"/>
      <c r="AF1461" s="192"/>
      <c r="AG1461" s="924"/>
      <c r="AH1461" s="233" t="s">
        <v>672</v>
      </c>
      <c r="AI1461" s="948"/>
      <c r="AJ1461" s="924" t="s">
        <v>4</v>
      </c>
      <c r="AK1461" s="270"/>
      <c r="AL1461" s="192"/>
      <c r="AM1461" s="924"/>
      <c r="AN1461" s="233" t="s">
        <v>672</v>
      </c>
      <c r="AO1461" s="948"/>
      <c r="AP1461" s="924" t="s">
        <v>4</v>
      </c>
      <c r="AQ1461" s="270"/>
      <c r="AR1461" s="192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9"/>
      <c r="BQ1461" s="39"/>
      <c r="BR1461" s="39"/>
      <c r="BS1461" s="39"/>
      <c r="BT1461" s="39"/>
      <c r="BU1461" s="39"/>
      <c r="BV1461" s="39"/>
      <c r="BW1461" s="39"/>
      <c r="BX1461" s="39"/>
      <c r="BY1461" s="39"/>
      <c r="BZ1461" s="39"/>
      <c r="CA1461" s="39"/>
      <c r="CB1461" s="39"/>
      <c r="CC1461" s="39"/>
      <c r="CD1461" s="39"/>
      <c r="CE1461" s="39"/>
      <c r="CF1461" s="39"/>
      <c r="CG1461" s="39"/>
      <c r="CH1461" s="39"/>
    </row>
    <row r="1462" spans="1:1025" s="40" customFormat="1" ht="38.65" customHeight="1" x14ac:dyDescent="0.25">
      <c r="A1462" s="1323"/>
      <c r="B1462" s="1324"/>
      <c r="C1462" s="1324"/>
      <c r="D1462" s="1324"/>
      <c r="E1462" s="1324"/>
      <c r="F1462" s="1324"/>
      <c r="G1462" s="1324"/>
      <c r="H1462" s="1324"/>
      <c r="I1462" s="1325"/>
      <c r="J1462" s="233" t="s">
        <v>673</v>
      </c>
      <c r="K1462" s="948"/>
      <c r="L1462" s="924" t="s">
        <v>4</v>
      </c>
      <c r="M1462" s="270"/>
      <c r="N1462" s="192"/>
      <c r="O1462" s="924"/>
      <c r="P1462" s="233" t="s">
        <v>673</v>
      </c>
      <c r="Q1462" s="948"/>
      <c r="R1462" s="924" t="s">
        <v>4</v>
      </c>
      <c r="S1462" s="2510"/>
      <c r="T1462" s="192"/>
      <c r="U1462" s="924"/>
      <c r="V1462" s="233" t="s">
        <v>673</v>
      </c>
      <c r="W1462" s="948"/>
      <c r="X1462" s="924" t="s">
        <v>4</v>
      </c>
      <c r="Y1462" s="270"/>
      <c r="Z1462" s="192"/>
      <c r="AA1462" s="924"/>
      <c r="AB1462" s="233" t="s">
        <v>673</v>
      </c>
      <c r="AC1462" s="948"/>
      <c r="AD1462" s="924" t="s">
        <v>4</v>
      </c>
      <c r="AE1462" s="270"/>
      <c r="AF1462" s="192"/>
      <c r="AG1462" s="924"/>
      <c r="AH1462" s="233" t="s">
        <v>673</v>
      </c>
      <c r="AI1462" s="948"/>
      <c r="AJ1462" s="924" t="s">
        <v>4</v>
      </c>
      <c r="AK1462" s="270"/>
      <c r="AL1462" s="192"/>
      <c r="AM1462" s="924"/>
      <c r="AN1462" s="233" t="s">
        <v>673</v>
      </c>
      <c r="AO1462" s="948"/>
      <c r="AP1462" s="924" t="s">
        <v>4</v>
      </c>
      <c r="AQ1462" s="270"/>
      <c r="AR1462" s="192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9"/>
      <c r="BQ1462" s="39"/>
      <c r="BR1462" s="39"/>
      <c r="BS1462" s="39"/>
      <c r="BT1462" s="39"/>
      <c r="BU1462" s="39"/>
      <c r="BV1462" s="39"/>
      <c r="BW1462" s="39"/>
      <c r="BX1462" s="39"/>
      <c r="BY1462" s="39"/>
      <c r="BZ1462" s="39"/>
      <c r="CA1462" s="39"/>
      <c r="CB1462" s="39"/>
      <c r="CC1462" s="39"/>
      <c r="CD1462" s="39"/>
      <c r="CE1462" s="39"/>
      <c r="CF1462" s="39"/>
      <c r="CG1462" s="39"/>
      <c r="CH1462" s="39"/>
    </row>
    <row r="1463" spans="1:1025" s="40" customFormat="1" ht="32.85" customHeight="1" x14ac:dyDescent="0.25">
      <c r="A1463" s="1323"/>
      <c r="B1463" s="1324"/>
      <c r="C1463" s="1324"/>
      <c r="D1463" s="1324"/>
      <c r="E1463" s="1324"/>
      <c r="F1463" s="1324"/>
      <c r="G1463" s="1324"/>
      <c r="H1463" s="1324"/>
      <c r="I1463" s="1325"/>
      <c r="J1463" s="233" t="s">
        <v>674</v>
      </c>
      <c r="K1463" s="948"/>
      <c r="L1463" s="924" t="s">
        <v>8</v>
      </c>
      <c r="M1463" s="270"/>
      <c r="N1463" s="192"/>
      <c r="O1463" s="924"/>
      <c r="P1463" s="560" t="s">
        <v>674</v>
      </c>
      <c r="Q1463" s="547"/>
      <c r="R1463" s="559" t="s">
        <v>8</v>
      </c>
      <c r="S1463" s="2510"/>
      <c r="T1463" s="192"/>
      <c r="U1463" s="924"/>
      <c r="V1463" s="233" t="s">
        <v>674</v>
      </c>
      <c r="W1463" s="948"/>
      <c r="X1463" s="924" t="s">
        <v>8</v>
      </c>
      <c r="Y1463" s="270"/>
      <c r="Z1463" s="192"/>
      <c r="AA1463" s="924"/>
      <c r="AB1463" s="233" t="s">
        <v>674</v>
      </c>
      <c r="AC1463" s="948"/>
      <c r="AD1463" s="924" t="s">
        <v>8</v>
      </c>
      <c r="AE1463" s="270"/>
      <c r="AF1463" s="192"/>
      <c r="AG1463" s="924"/>
      <c r="AH1463" s="233" t="s">
        <v>674</v>
      </c>
      <c r="AI1463" s="948"/>
      <c r="AJ1463" s="924" t="s">
        <v>8</v>
      </c>
      <c r="AK1463" s="270"/>
      <c r="AL1463" s="192"/>
      <c r="AM1463" s="924"/>
      <c r="AN1463" s="233" t="s">
        <v>674</v>
      </c>
      <c r="AO1463" s="948"/>
      <c r="AP1463" s="924" t="s">
        <v>8</v>
      </c>
      <c r="AQ1463" s="270"/>
      <c r="AR1463" s="192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9"/>
      <c r="BQ1463" s="39"/>
      <c r="BR1463" s="39"/>
      <c r="BS1463" s="39"/>
      <c r="BT1463" s="39"/>
      <c r="BU1463" s="39"/>
      <c r="BV1463" s="39"/>
      <c r="BW1463" s="39"/>
      <c r="BX1463" s="39"/>
      <c r="BY1463" s="39"/>
      <c r="BZ1463" s="39"/>
      <c r="CA1463" s="39"/>
      <c r="CB1463" s="39"/>
      <c r="CC1463" s="39"/>
      <c r="CD1463" s="39"/>
      <c r="CE1463" s="39"/>
      <c r="CF1463" s="39"/>
      <c r="CG1463" s="39"/>
      <c r="CH1463" s="39"/>
    </row>
    <row r="1464" spans="1:1025" s="40" customFormat="1" ht="33.4" customHeight="1" x14ac:dyDescent="0.25">
      <c r="A1464" s="1323"/>
      <c r="B1464" s="1324"/>
      <c r="C1464" s="1324"/>
      <c r="D1464" s="1324"/>
      <c r="E1464" s="1324"/>
      <c r="F1464" s="1324"/>
      <c r="G1464" s="1324"/>
      <c r="H1464" s="1324"/>
      <c r="I1464" s="1325"/>
      <c r="J1464" s="233" t="s">
        <v>1043</v>
      </c>
      <c r="K1464" s="948"/>
      <c r="L1464" s="924" t="s">
        <v>1044</v>
      </c>
      <c r="M1464" s="270"/>
      <c r="N1464" s="192"/>
      <c r="O1464" s="924"/>
      <c r="P1464" s="233" t="s">
        <v>1043</v>
      </c>
      <c r="Q1464" s="948">
        <f>Q578</f>
        <v>20</v>
      </c>
      <c r="R1464" s="924" t="s">
        <v>1044</v>
      </c>
      <c r="S1464" s="547">
        <f>S578</f>
        <v>18.895759999999999</v>
      </c>
      <c r="T1464" s="192"/>
      <c r="U1464" s="924"/>
      <c r="V1464" s="233" t="s">
        <v>1043</v>
      </c>
      <c r="W1464" s="948"/>
      <c r="X1464" s="924" t="s">
        <v>1044</v>
      </c>
      <c r="Y1464" s="270"/>
      <c r="Z1464" s="192"/>
      <c r="AA1464" s="924"/>
      <c r="AB1464" s="233" t="s">
        <v>1043</v>
      </c>
      <c r="AC1464" s="948"/>
      <c r="AD1464" s="924" t="s">
        <v>1044</v>
      </c>
      <c r="AE1464" s="270"/>
      <c r="AF1464" s="192"/>
      <c r="AG1464" s="924"/>
      <c r="AH1464" s="233" t="s">
        <v>1043</v>
      </c>
      <c r="AI1464" s="948"/>
      <c r="AJ1464" s="924" t="s">
        <v>1044</v>
      </c>
      <c r="AK1464" s="270"/>
      <c r="AL1464" s="192"/>
      <c r="AM1464" s="924"/>
      <c r="AN1464" s="233" t="s">
        <v>1043</v>
      </c>
      <c r="AO1464" s="948"/>
      <c r="AP1464" s="924" t="s">
        <v>1044</v>
      </c>
      <c r="AQ1464" s="270"/>
      <c r="AR1464" s="192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9"/>
      <c r="BQ1464" s="39"/>
      <c r="BR1464" s="39"/>
      <c r="BS1464" s="39"/>
      <c r="BT1464" s="39"/>
      <c r="BU1464" s="39"/>
      <c r="BV1464" s="39"/>
      <c r="BW1464" s="39"/>
      <c r="BX1464" s="39"/>
      <c r="BY1464" s="39"/>
      <c r="BZ1464" s="39"/>
      <c r="CA1464" s="39"/>
      <c r="CB1464" s="39"/>
      <c r="CC1464" s="39"/>
      <c r="CD1464" s="39"/>
      <c r="CE1464" s="39"/>
      <c r="CF1464" s="39"/>
      <c r="CG1464" s="39"/>
      <c r="CH1464" s="39"/>
    </row>
    <row r="1465" spans="1:1025" s="40" customFormat="1" ht="86.1" customHeight="1" x14ac:dyDescent="0.25">
      <c r="A1465" s="1323"/>
      <c r="B1465" s="1324"/>
      <c r="C1465" s="1324"/>
      <c r="D1465" s="1324"/>
      <c r="E1465" s="1324"/>
      <c r="F1465" s="1324"/>
      <c r="G1465" s="1324"/>
      <c r="H1465" s="1324"/>
      <c r="I1465" s="1325"/>
      <c r="J1465" s="233" t="s">
        <v>1046</v>
      </c>
      <c r="K1465" s="948"/>
      <c r="L1465" s="924" t="s">
        <v>1045</v>
      </c>
      <c r="M1465" s="948">
        <f>M465+M467+M470+M468+M471</f>
        <v>1021.84521</v>
      </c>
      <c r="N1465" s="192"/>
      <c r="O1465" s="924"/>
      <c r="P1465" s="233" t="s">
        <v>1046</v>
      </c>
      <c r="Q1465" s="948">
        <f>Q494+Q513+Q529+Q544+Q551+Q562+Q583</f>
        <v>171.45</v>
      </c>
      <c r="R1465" s="924" t="s">
        <v>1045</v>
      </c>
      <c r="S1465" s="547">
        <f>S482+S475+S478+S476+S480+S481+S483+S494+S513+S529+S544+S551+S562+S583</f>
        <v>5747.8849799999989</v>
      </c>
      <c r="T1465" s="192"/>
      <c r="U1465" s="924"/>
      <c r="V1465" s="233" t="s">
        <v>1046</v>
      </c>
      <c r="W1465" s="160">
        <f>W602+W498+W499+W507+W547+W558+W790+W791+W792+W793+W623+W15+W16+W17+W18+W25+W28+W29+W48+W77+W83+W84+W115+W121+W122+W128+W134+W135+W136+W155+W429</f>
        <v>31</v>
      </c>
      <c r="X1465" s="924" t="s">
        <v>1045</v>
      </c>
      <c r="Y1465" s="948">
        <f>Y602+Y498+Y499+Y507+Y547+Y558+Y790+Y791+Y792+Y793+Y623+Y15+Y16+Y17+Y18+Y25+Y28+Y29+Y48+Y77+Y83+Y84+Y115+Y121+Y122+Y128+Y134+Y135+Y136+Y155+Y429</f>
        <v>16477.148330000007</v>
      </c>
      <c r="Z1465" s="192"/>
      <c r="AA1465" s="924"/>
      <c r="AB1465" s="233" t="s">
        <v>1046</v>
      </c>
      <c r="AC1465" s="948"/>
      <c r="AD1465" s="924" t="s">
        <v>1045</v>
      </c>
      <c r="AE1465" s="270"/>
      <c r="AF1465" s="192"/>
      <c r="AG1465" s="924"/>
      <c r="AH1465" s="233" t="s">
        <v>1046</v>
      </c>
      <c r="AI1465" s="948"/>
      <c r="AJ1465" s="924" t="s">
        <v>1045</v>
      </c>
      <c r="AK1465" s="270"/>
      <c r="AL1465" s="192"/>
      <c r="AM1465" s="924"/>
      <c r="AN1465" s="233" t="s">
        <v>1046</v>
      </c>
      <c r="AO1465" s="948"/>
      <c r="AP1465" s="924" t="s">
        <v>1045</v>
      </c>
      <c r="AQ1465" s="270"/>
      <c r="AR1465" s="192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9"/>
      <c r="BQ1465" s="39"/>
      <c r="BR1465" s="39"/>
      <c r="BS1465" s="39"/>
      <c r="BT1465" s="39"/>
      <c r="BU1465" s="39"/>
      <c r="BV1465" s="39"/>
      <c r="BW1465" s="39"/>
      <c r="BX1465" s="39"/>
      <c r="BY1465" s="39"/>
      <c r="BZ1465" s="39"/>
      <c r="CA1465" s="39"/>
      <c r="CB1465" s="39"/>
      <c r="CC1465" s="39"/>
      <c r="CD1465" s="39"/>
      <c r="CE1465" s="39"/>
      <c r="CF1465" s="39"/>
      <c r="CG1465" s="39"/>
      <c r="CH1465" s="39"/>
    </row>
    <row r="1466" spans="1:1025" s="218" customFormat="1" ht="28.35" customHeight="1" x14ac:dyDescent="0.25">
      <c r="A1466" s="215"/>
      <c r="B1466" s="216"/>
      <c r="C1466" s="216"/>
      <c r="D1466" s="216"/>
      <c r="E1466" s="216"/>
      <c r="F1466" s="216"/>
      <c r="G1466" s="216"/>
      <c r="H1466" s="216"/>
      <c r="I1466" s="217"/>
      <c r="J1466" s="223" t="s">
        <v>988</v>
      </c>
      <c r="K1466" s="224"/>
      <c r="L1466" s="224"/>
      <c r="M1466" s="225">
        <f>M1478+M1480+M1481+M1482+M1483+M1484+M1485+M1486+M1487</f>
        <v>44059.135979999999</v>
      </c>
      <c r="N1466" s="352"/>
      <c r="O1466" s="224"/>
      <c r="P1466" s="223" t="s">
        <v>988</v>
      </c>
      <c r="Q1466" s="224"/>
      <c r="R1466" s="224"/>
      <c r="S1466" s="195"/>
      <c r="T1466" s="352"/>
      <c r="U1466" s="353"/>
      <c r="V1466" s="223" t="s">
        <v>988</v>
      </c>
      <c r="W1466" s="224"/>
      <c r="X1466" s="224"/>
      <c r="Y1466" s="195"/>
      <c r="Z1466" s="352"/>
      <c r="AA1466" s="224"/>
      <c r="AB1466" s="223" t="s">
        <v>988</v>
      </c>
      <c r="AC1466" s="224"/>
      <c r="AD1466" s="224"/>
      <c r="AE1466" s="195"/>
      <c r="AF1466" s="352"/>
      <c r="AG1466" s="224"/>
      <c r="AH1466" s="223" t="s">
        <v>988</v>
      </c>
      <c r="AI1466" s="224"/>
      <c r="AJ1466" s="224"/>
      <c r="AK1466" s="195"/>
      <c r="AL1466" s="352"/>
      <c r="AM1466" s="224"/>
      <c r="AN1466" s="223" t="s">
        <v>988</v>
      </c>
      <c r="AO1466" s="224"/>
      <c r="AP1466" s="224"/>
      <c r="AQ1466" s="195"/>
      <c r="AR1466" s="195"/>
      <c r="CI1466" s="219"/>
      <c r="CJ1466" s="219"/>
      <c r="CK1466" s="219"/>
      <c r="CL1466" s="219"/>
      <c r="CM1466" s="219"/>
      <c r="CN1466" s="219"/>
      <c r="CO1466" s="219"/>
      <c r="CP1466" s="219"/>
      <c r="CQ1466" s="219"/>
      <c r="CR1466" s="219"/>
      <c r="CS1466" s="219"/>
      <c r="CT1466" s="219"/>
      <c r="CU1466" s="219"/>
      <c r="CV1466" s="219"/>
      <c r="CW1466" s="219"/>
      <c r="CX1466" s="219"/>
      <c r="CY1466" s="219"/>
      <c r="CZ1466" s="219"/>
      <c r="DA1466" s="219"/>
      <c r="DB1466" s="219"/>
      <c r="DC1466" s="219"/>
      <c r="DD1466" s="219"/>
      <c r="DE1466" s="219"/>
      <c r="DF1466" s="219"/>
      <c r="DG1466" s="219"/>
      <c r="DH1466" s="219"/>
      <c r="DI1466" s="219"/>
      <c r="DJ1466" s="219"/>
      <c r="DK1466" s="219"/>
      <c r="DL1466" s="219"/>
      <c r="DM1466" s="219"/>
      <c r="DN1466" s="219"/>
      <c r="DO1466" s="219"/>
      <c r="DP1466" s="219"/>
      <c r="DQ1466" s="219"/>
      <c r="DR1466" s="219"/>
      <c r="DS1466" s="219"/>
      <c r="DT1466" s="219"/>
      <c r="DU1466" s="219"/>
      <c r="DV1466" s="219"/>
      <c r="DW1466" s="219"/>
      <c r="DX1466" s="219"/>
      <c r="DY1466" s="219"/>
      <c r="DZ1466" s="219"/>
      <c r="EA1466" s="219"/>
      <c r="EB1466" s="219"/>
      <c r="EC1466" s="219"/>
      <c r="ED1466" s="219"/>
      <c r="EE1466" s="219"/>
      <c r="EF1466" s="219"/>
      <c r="EG1466" s="219"/>
      <c r="EH1466" s="219"/>
      <c r="EI1466" s="219"/>
      <c r="EJ1466" s="219"/>
      <c r="EK1466" s="219"/>
      <c r="EL1466" s="219"/>
      <c r="EM1466" s="219"/>
      <c r="EN1466" s="219"/>
      <c r="EO1466" s="219"/>
      <c r="EP1466" s="219"/>
      <c r="EQ1466" s="219"/>
      <c r="ER1466" s="219"/>
      <c r="ES1466" s="219"/>
      <c r="ET1466" s="219"/>
      <c r="EU1466" s="219"/>
      <c r="EV1466" s="219"/>
      <c r="EW1466" s="219"/>
      <c r="EX1466" s="219"/>
      <c r="EY1466" s="219"/>
      <c r="EZ1466" s="219"/>
      <c r="FA1466" s="219"/>
      <c r="FB1466" s="219"/>
      <c r="FC1466" s="219"/>
      <c r="FD1466" s="219"/>
      <c r="FE1466" s="219"/>
      <c r="FF1466" s="219"/>
      <c r="FG1466" s="219"/>
      <c r="FH1466" s="219"/>
      <c r="FI1466" s="219"/>
      <c r="FJ1466" s="219"/>
      <c r="FK1466" s="219"/>
      <c r="FL1466" s="219"/>
      <c r="FM1466" s="219"/>
      <c r="FN1466" s="219"/>
      <c r="FO1466" s="219"/>
      <c r="FP1466" s="219"/>
      <c r="FQ1466" s="219"/>
      <c r="FR1466" s="219"/>
      <c r="FS1466" s="219"/>
      <c r="FT1466" s="219"/>
      <c r="FU1466" s="219"/>
      <c r="FV1466" s="219"/>
      <c r="FW1466" s="219"/>
      <c r="FX1466" s="219"/>
      <c r="FY1466" s="219"/>
      <c r="FZ1466" s="219"/>
      <c r="GA1466" s="219"/>
      <c r="GB1466" s="219"/>
      <c r="GC1466" s="219"/>
      <c r="GD1466" s="219"/>
      <c r="GE1466" s="219"/>
      <c r="GF1466" s="219"/>
      <c r="GG1466" s="219"/>
      <c r="GH1466" s="219"/>
      <c r="GI1466" s="219"/>
      <c r="GJ1466" s="219"/>
      <c r="GK1466" s="219"/>
      <c r="GL1466" s="219"/>
      <c r="GM1466" s="219"/>
      <c r="GN1466" s="219"/>
      <c r="GO1466" s="219"/>
      <c r="GP1466" s="219"/>
      <c r="GQ1466" s="219"/>
      <c r="GR1466" s="219"/>
      <c r="GS1466" s="219"/>
      <c r="GT1466" s="219"/>
      <c r="GU1466" s="219"/>
      <c r="GV1466" s="219"/>
      <c r="GW1466" s="219"/>
      <c r="GX1466" s="219"/>
      <c r="GY1466" s="219"/>
      <c r="GZ1466" s="219"/>
      <c r="HA1466" s="219"/>
      <c r="HB1466" s="219"/>
      <c r="HC1466" s="219"/>
      <c r="HD1466" s="219"/>
      <c r="HE1466" s="219"/>
      <c r="HF1466" s="219"/>
      <c r="HG1466" s="219"/>
      <c r="HH1466" s="219"/>
      <c r="HI1466" s="219"/>
      <c r="HJ1466" s="219"/>
      <c r="HK1466" s="219"/>
      <c r="HL1466" s="219"/>
      <c r="HM1466" s="219"/>
      <c r="HN1466" s="219"/>
      <c r="HO1466" s="219"/>
      <c r="HP1466" s="219"/>
      <c r="HQ1466" s="219"/>
      <c r="HR1466" s="219"/>
      <c r="HS1466" s="219"/>
      <c r="HT1466" s="219"/>
      <c r="HU1466" s="219"/>
      <c r="HV1466" s="219"/>
      <c r="HW1466" s="219"/>
      <c r="HX1466" s="219"/>
      <c r="HY1466" s="219"/>
      <c r="HZ1466" s="219"/>
      <c r="IA1466" s="219"/>
      <c r="IB1466" s="219"/>
      <c r="IC1466" s="219"/>
      <c r="ID1466" s="219"/>
      <c r="IE1466" s="219"/>
      <c r="IF1466" s="219"/>
      <c r="IG1466" s="219"/>
      <c r="IH1466" s="219"/>
      <c r="II1466" s="219"/>
      <c r="IJ1466" s="219"/>
      <c r="IK1466" s="219"/>
      <c r="IL1466" s="219"/>
      <c r="IM1466" s="219"/>
      <c r="IN1466" s="219"/>
      <c r="IO1466" s="219"/>
      <c r="IP1466" s="219"/>
      <c r="IQ1466" s="219"/>
      <c r="IR1466" s="219"/>
      <c r="IS1466" s="219"/>
      <c r="IT1466" s="219"/>
      <c r="IU1466" s="219"/>
      <c r="IV1466" s="219"/>
      <c r="IW1466" s="219"/>
      <c r="IX1466" s="219"/>
      <c r="IY1466" s="219"/>
      <c r="IZ1466" s="219"/>
      <c r="JA1466" s="219"/>
      <c r="JB1466" s="219"/>
      <c r="JC1466" s="219"/>
      <c r="JD1466" s="219"/>
      <c r="JE1466" s="219"/>
      <c r="JF1466" s="219"/>
      <c r="JG1466" s="219"/>
      <c r="JH1466" s="219"/>
      <c r="JI1466" s="219"/>
      <c r="JJ1466" s="219"/>
      <c r="JK1466" s="219"/>
      <c r="JL1466" s="219"/>
      <c r="JM1466" s="219"/>
      <c r="JN1466" s="219"/>
      <c r="JO1466" s="219"/>
      <c r="JP1466" s="219"/>
      <c r="JQ1466" s="219"/>
      <c r="JR1466" s="219"/>
      <c r="JS1466" s="219"/>
      <c r="JT1466" s="219"/>
      <c r="JU1466" s="219"/>
      <c r="JV1466" s="219"/>
      <c r="JW1466" s="219"/>
      <c r="JX1466" s="219"/>
      <c r="JY1466" s="219"/>
      <c r="JZ1466" s="219"/>
      <c r="KA1466" s="219"/>
      <c r="KB1466" s="219"/>
      <c r="KC1466" s="219"/>
      <c r="KD1466" s="219"/>
      <c r="KE1466" s="219"/>
      <c r="KF1466" s="219"/>
      <c r="KG1466" s="219"/>
      <c r="KH1466" s="219"/>
      <c r="KI1466" s="219"/>
      <c r="KJ1466" s="219"/>
      <c r="KK1466" s="219"/>
      <c r="KL1466" s="219"/>
      <c r="KM1466" s="219"/>
      <c r="KN1466" s="219"/>
      <c r="KO1466" s="219"/>
      <c r="KP1466" s="219"/>
      <c r="KQ1466" s="219"/>
      <c r="KR1466" s="219"/>
      <c r="KS1466" s="219"/>
      <c r="KT1466" s="219"/>
      <c r="KU1466" s="219"/>
      <c r="KV1466" s="219"/>
      <c r="KW1466" s="219"/>
      <c r="KX1466" s="219"/>
      <c r="KY1466" s="219"/>
      <c r="KZ1466" s="219"/>
      <c r="LA1466" s="219"/>
      <c r="LB1466" s="219"/>
      <c r="LC1466" s="219"/>
      <c r="LD1466" s="219"/>
      <c r="LE1466" s="219"/>
      <c r="LF1466" s="219"/>
      <c r="LG1466" s="219"/>
      <c r="LH1466" s="219"/>
      <c r="LI1466" s="219"/>
      <c r="LJ1466" s="219"/>
      <c r="LK1466" s="219"/>
      <c r="LL1466" s="219"/>
      <c r="LM1466" s="219"/>
      <c r="LN1466" s="219"/>
      <c r="LO1466" s="219"/>
      <c r="LP1466" s="219"/>
      <c r="LQ1466" s="219"/>
      <c r="LR1466" s="219"/>
      <c r="LS1466" s="219"/>
      <c r="LT1466" s="219"/>
      <c r="LU1466" s="219"/>
      <c r="LV1466" s="219"/>
      <c r="LW1466" s="219"/>
      <c r="LX1466" s="219"/>
      <c r="LY1466" s="219"/>
      <c r="LZ1466" s="219"/>
      <c r="MA1466" s="219"/>
      <c r="MB1466" s="219"/>
      <c r="MC1466" s="219"/>
      <c r="MD1466" s="219"/>
      <c r="ME1466" s="219"/>
      <c r="MF1466" s="219"/>
      <c r="MG1466" s="219"/>
      <c r="MH1466" s="219"/>
      <c r="MI1466" s="219"/>
      <c r="MJ1466" s="219"/>
      <c r="MK1466" s="219"/>
      <c r="ML1466" s="219"/>
      <c r="MM1466" s="219"/>
      <c r="MN1466" s="219"/>
      <c r="MO1466" s="219"/>
      <c r="MP1466" s="219"/>
      <c r="MQ1466" s="219"/>
      <c r="MR1466" s="219"/>
      <c r="MS1466" s="219"/>
      <c r="MT1466" s="219"/>
      <c r="MU1466" s="219"/>
      <c r="MV1466" s="219"/>
      <c r="MW1466" s="219"/>
      <c r="MX1466" s="219"/>
      <c r="MY1466" s="219"/>
      <c r="MZ1466" s="219"/>
      <c r="NA1466" s="219"/>
      <c r="NB1466" s="219"/>
      <c r="NC1466" s="219"/>
      <c r="ND1466" s="219"/>
      <c r="NE1466" s="219"/>
      <c r="NF1466" s="219"/>
      <c r="NG1466" s="219"/>
      <c r="NH1466" s="219"/>
      <c r="NI1466" s="219"/>
      <c r="NJ1466" s="219"/>
      <c r="NK1466" s="219"/>
      <c r="NL1466" s="219"/>
      <c r="NM1466" s="219"/>
      <c r="NN1466" s="219"/>
      <c r="NO1466" s="219"/>
      <c r="NP1466" s="219"/>
      <c r="NQ1466" s="219"/>
      <c r="NR1466" s="219"/>
      <c r="NS1466" s="219"/>
      <c r="NT1466" s="219"/>
      <c r="NU1466" s="219"/>
      <c r="NV1466" s="219"/>
      <c r="NW1466" s="219"/>
      <c r="NX1466" s="219"/>
      <c r="NY1466" s="219"/>
      <c r="NZ1466" s="219"/>
      <c r="OA1466" s="219"/>
      <c r="OB1466" s="219"/>
      <c r="OC1466" s="219"/>
      <c r="OD1466" s="219"/>
      <c r="OE1466" s="219"/>
      <c r="OF1466" s="219"/>
      <c r="OG1466" s="219"/>
      <c r="OH1466" s="219"/>
      <c r="OI1466" s="219"/>
      <c r="OJ1466" s="219"/>
      <c r="OK1466" s="219"/>
      <c r="OL1466" s="219"/>
      <c r="OM1466" s="219"/>
      <c r="ON1466" s="219"/>
      <c r="OO1466" s="219"/>
      <c r="OP1466" s="219"/>
      <c r="OQ1466" s="219"/>
      <c r="OR1466" s="219"/>
      <c r="OS1466" s="219"/>
      <c r="OT1466" s="219"/>
      <c r="OU1466" s="219"/>
      <c r="OV1466" s="219"/>
      <c r="OW1466" s="219"/>
      <c r="OX1466" s="219"/>
      <c r="OY1466" s="219"/>
      <c r="OZ1466" s="219"/>
      <c r="PA1466" s="219"/>
      <c r="PB1466" s="219"/>
      <c r="PC1466" s="219"/>
      <c r="PD1466" s="219"/>
      <c r="PE1466" s="219"/>
      <c r="PF1466" s="219"/>
      <c r="PG1466" s="219"/>
      <c r="PH1466" s="219"/>
      <c r="PI1466" s="219"/>
      <c r="PJ1466" s="219"/>
      <c r="PK1466" s="219"/>
      <c r="PL1466" s="219"/>
      <c r="PM1466" s="219"/>
      <c r="PN1466" s="219"/>
      <c r="PO1466" s="219"/>
      <c r="PP1466" s="219"/>
      <c r="PQ1466" s="219"/>
      <c r="PR1466" s="219"/>
      <c r="PS1466" s="219"/>
      <c r="PT1466" s="219"/>
      <c r="PU1466" s="219"/>
      <c r="PV1466" s="219"/>
      <c r="PW1466" s="219"/>
      <c r="PX1466" s="219"/>
      <c r="PY1466" s="219"/>
      <c r="PZ1466" s="219"/>
      <c r="QA1466" s="219"/>
      <c r="QB1466" s="219"/>
      <c r="QC1466" s="219"/>
      <c r="QD1466" s="219"/>
      <c r="QE1466" s="219"/>
      <c r="QF1466" s="219"/>
      <c r="QG1466" s="219"/>
      <c r="QH1466" s="219"/>
      <c r="QI1466" s="219"/>
      <c r="QJ1466" s="219"/>
      <c r="QK1466" s="219"/>
      <c r="QL1466" s="219"/>
      <c r="QM1466" s="219"/>
      <c r="QN1466" s="219"/>
      <c r="QO1466" s="219"/>
      <c r="QP1466" s="219"/>
      <c r="QQ1466" s="219"/>
      <c r="QR1466" s="219"/>
      <c r="QS1466" s="219"/>
      <c r="QT1466" s="219"/>
      <c r="QU1466" s="219"/>
      <c r="QV1466" s="219"/>
      <c r="QW1466" s="219"/>
      <c r="QX1466" s="219"/>
      <c r="QY1466" s="219"/>
      <c r="QZ1466" s="219"/>
      <c r="RA1466" s="219"/>
      <c r="RB1466" s="219"/>
      <c r="RC1466" s="219"/>
      <c r="RD1466" s="219"/>
      <c r="RE1466" s="219"/>
      <c r="RF1466" s="219"/>
      <c r="RG1466" s="219"/>
      <c r="RH1466" s="219"/>
      <c r="RI1466" s="219"/>
      <c r="RJ1466" s="219"/>
      <c r="RK1466" s="219"/>
      <c r="RL1466" s="219"/>
      <c r="RM1466" s="219"/>
      <c r="RN1466" s="219"/>
      <c r="RO1466" s="219"/>
      <c r="RP1466" s="219"/>
      <c r="RQ1466" s="219"/>
      <c r="RR1466" s="219"/>
      <c r="RS1466" s="219"/>
      <c r="RT1466" s="219"/>
      <c r="RU1466" s="219"/>
      <c r="RV1466" s="219"/>
      <c r="RW1466" s="219"/>
      <c r="RX1466" s="219"/>
      <c r="RY1466" s="219"/>
      <c r="RZ1466" s="219"/>
      <c r="SA1466" s="219"/>
      <c r="SB1466" s="219"/>
      <c r="SC1466" s="219"/>
      <c r="SD1466" s="219"/>
      <c r="SE1466" s="219"/>
      <c r="SF1466" s="219"/>
      <c r="SG1466" s="219"/>
      <c r="SH1466" s="219"/>
      <c r="SI1466" s="219"/>
      <c r="SJ1466" s="219"/>
      <c r="SK1466" s="219"/>
      <c r="SL1466" s="219"/>
      <c r="SM1466" s="219"/>
      <c r="SN1466" s="219"/>
      <c r="SO1466" s="219"/>
      <c r="SP1466" s="219"/>
      <c r="SQ1466" s="219"/>
      <c r="SR1466" s="219"/>
      <c r="SS1466" s="219"/>
      <c r="ST1466" s="219"/>
      <c r="SU1466" s="219"/>
      <c r="SV1466" s="219"/>
      <c r="SW1466" s="219"/>
      <c r="SX1466" s="219"/>
      <c r="SY1466" s="219"/>
      <c r="SZ1466" s="219"/>
      <c r="TA1466" s="219"/>
      <c r="TB1466" s="219"/>
      <c r="TC1466" s="219"/>
      <c r="TD1466" s="219"/>
      <c r="TE1466" s="219"/>
      <c r="TF1466" s="219"/>
      <c r="TG1466" s="219"/>
      <c r="TH1466" s="219"/>
      <c r="TI1466" s="219"/>
      <c r="TJ1466" s="219"/>
      <c r="TK1466" s="219"/>
      <c r="TL1466" s="219"/>
      <c r="TM1466" s="219"/>
      <c r="TN1466" s="219"/>
      <c r="TO1466" s="219"/>
      <c r="TP1466" s="219"/>
      <c r="TQ1466" s="219"/>
      <c r="TR1466" s="219"/>
      <c r="TS1466" s="219"/>
      <c r="TT1466" s="219"/>
      <c r="TU1466" s="219"/>
      <c r="TV1466" s="219"/>
      <c r="TW1466" s="219"/>
      <c r="TX1466" s="219"/>
      <c r="TY1466" s="219"/>
      <c r="TZ1466" s="219"/>
      <c r="UA1466" s="219"/>
      <c r="UB1466" s="219"/>
      <c r="UC1466" s="219"/>
      <c r="UD1466" s="219"/>
      <c r="UE1466" s="219"/>
      <c r="UF1466" s="219"/>
      <c r="UG1466" s="219"/>
      <c r="UH1466" s="219"/>
      <c r="UI1466" s="219"/>
      <c r="UJ1466" s="219"/>
      <c r="UK1466" s="219"/>
      <c r="UL1466" s="219"/>
      <c r="UM1466" s="219"/>
      <c r="UN1466" s="219"/>
      <c r="UO1466" s="219"/>
      <c r="UP1466" s="219"/>
      <c r="UQ1466" s="219"/>
      <c r="UR1466" s="219"/>
      <c r="US1466" s="219"/>
      <c r="UT1466" s="219"/>
      <c r="UU1466" s="219"/>
      <c r="UV1466" s="219"/>
      <c r="UW1466" s="219"/>
      <c r="UX1466" s="219"/>
      <c r="UY1466" s="219"/>
      <c r="UZ1466" s="219"/>
      <c r="VA1466" s="219"/>
      <c r="VB1466" s="219"/>
      <c r="VC1466" s="219"/>
      <c r="VD1466" s="219"/>
      <c r="VE1466" s="219"/>
      <c r="VF1466" s="219"/>
      <c r="VG1466" s="219"/>
      <c r="VH1466" s="219"/>
      <c r="VI1466" s="219"/>
      <c r="VJ1466" s="219"/>
      <c r="VK1466" s="219"/>
      <c r="VL1466" s="219"/>
      <c r="VM1466" s="219"/>
      <c r="VN1466" s="219"/>
      <c r="VO1466" s="219"/>
      <c r="VP1466" s="219"/>
      <c r="VQ1466" s="219"/>
      <c r="VR1466" s="219"/>
      <c r="VS1466" s="219"/>
      <c r="VT1466" s="219"/>
      <c r="VU1466" s="219"/>
      <c r="VV1466" s="219"/>
      <c r="VW1466" s="219"/>
      <c r="VX1466" s="219"/>
      <c r="VY1466" s="219"/>
      <c r="VZ1466" s="219"/>
      <c r="WA1466" s="219"/>
      <c r="WB1466" s="219"/>
      <c r="WC1466" s="219"/>
      <c r="WD1466" s="219"/>
      <c r="WE1466" s="219"/>
      <c r="WF1466" s="219"/>
      <c r="WG1466" s="219"/>
      <c r="WH1466" s="219"/>
      <c r="WI1466" s="219"/>
      <c r="WJ1466" s="219"/>
      <c r="WK1466" s="219"/>
      <c r="WL1466" s="219"/>
      <c r="WM1466" s="219"/>
      <c r="WN1466" s="219"/>
      <c r="WO1466" s="219"/>
      <c r="WP1466" s="219"/>
      <c r="WQ1466" s="219"/>
      <c r="WR1466" s="219"/>
      <c r="WS1466" s="219"/>
      <c r="WT1466" s="219"/>
      <c r="WU1466" s="219"/>
      <c r="WV1466" s="219"/>
      <c r="WW1466" s="219"/>
      <c r="WX1466" s="219"/>
      <c r="WY1466" s="219"/>
      <c r="WZ1466" s="219"/>
      <c r="XA1466" s="219"/>
      <c r="XB1466" s="219"/>
      <c r="XC1466" s="219"/>
      <c r="XD1466" s="219"/>
      <c r="XE1466" s="219"/>
      <c r="XF1466" s="219"/>
      <c r="XG1466" s="219"/>
      <c r="XH1466" s="219"/>
      <c r="XI1466" s="219"/>
      <c r="XJ1466" s="219"/>
      <c r="XK1466" s="219"/>
      <c r="XL1466" s="219"/>
      <c r="XM1466" s="219"/>
      <c r="XN1466" s="219"/>
      <c r="XO1466" s="219"/>
      <c r="XP1466" s="219"/>
      <c r="XQ1466" s="219"/>
      <c r="XR1466" s="219"/>
      <c r="XS1466" s="219"/>
      <c r="XT1466" s="219"/>
      <c r="XU1466" s="219"/>
      <c r="XV1466" s="219"/>
      <c r="XW1466" s="219"/>
      <c r="XX1466" s="219"/>
      <c r="XY1466" s="219"/>
      <c r="XZ1466" s="219"/>
      <c r="YA1466" s="219"/>
      <c r="YB1466" s="219"/>
      <c r="YC1466" s="219"/>
      <c r="YD1466" s="219"/>
      <c r="YE1466" s="219"/>
      <c r="YF1466" s="219"/>
      <c r="YG1466" s="219"/>
      <c r="YH1466" s="219"/>
      <c r="YI1466" s="219"/>
      <c r="YJ1466" s="219"/>
      <c r="YK1466" s="219"/>
      <c r="YL1466" s="219"/>
      <c r="YM1466" s="219"/>
      <c r="YN1466" s="219"/>
      <c r="YO1466" s="219"/>
      <c r="YP1466" s="219"/>
      <c r="YQ1466" s="219"/>
      <c r="YR1466" s="219"/>
      <c r="YS1466" s="219"/>
      <c r="YT1466" s="219"/>
      <c r="YU1466" s="219"/>
      <c r="YV1466" s="219"/>
      <c r="YW1466" s="219"/>
      <c r="YX1466" s="219"/>
      <c r="YY1466" s="219"/>
      <c r="YZ1466" s="219"/>
      <c r="ZA1466" s="219"/>
      <c r="ZB1466" s="219"/>
      <c r="ZC1466" s="219"/>
      <c r="ZD1466" s="219"/>
      <c r="ZE1466" s="219"/>
      <c r="ZF1466" s="219"/>
      <c r="ZG1466" s="219"/>
      <c r="ZH1466" s="219"/>
      <c r="ZI1466" s="219"/>
      <c r="ZJ1466" s="219"/>
      <c r="ZK1466" s="219"/>
      <c r="ZL1466" s="219"/>
      <c r="ZM1466" s="219"/>
      <c r="ZN1466" s="219"/>
      <c r="ZO1466" s="219"/>
      <c r="ZP1466" s="219"/>
      <c r="ZQ1466" s="219"/>
      <c r="ZR1466" s="219"/>
      <c r="ZS1466" s="219"/>
      <c r="ZT1466" s="219"/>
      <c r="ZU1466" s="219"/>
      <c r="ZV1466" s="219"/>
      <c r="ZW1466" s="219"/>
      <c r="ZX1466" s="219"/>
      <c r="ZY1466" s="219"/>
      <c r="ZZ1466" s="219"/>
      <c r="AAA1466" s="219"/>
      <c r="AAB1466" s="219"/>
      <c r="AAC1466" s="219"/>
      <c r="AAD1466" s="219"/>
      <c r="AAE1466" s="219"/>
      <c r="AAF1466" s="219"/>
      <c r="AAG1466" s="219"/>
      <c r="AAH1466" s="219"/>
      <c r="AAI1466" s="219"/>
      <c r="AAJ1466" s="219"/>
      <c r="AAK1466" s="219"/>
      <c r="AAL1466" s="219"/>
      <c r="AAM1466" s="219"/>
      <c r="AAN1466" s="219"/>
      <c r="AAO1466" s="219"/>
      <c r="AAP1466" s="219"/>
      <c r="AAQ1466" s="219"/>
      <c r="AAR1466" s="219"/>
      <c r="AAS1466" s="219"/>
      <c r="AAT1466" s="219"/>
      <c r="AAU1466" s="219"/>
      <c r="AAV1466" s="219"/>
      <c r="AAW1466" s="219"/>
      <c r="AAX1466" s="219"/>
      <c r="AAY1466" s="219"/>
      <c r="AAZ1466" s="219"/>
      <c r="ABA1466" s="219"/>
      <c r="ABB1466" s="219"/>
      <c r="ABC1466" s="219"/>
      <c r="ABD1466" s="219"/>
      <c r="ABE1466" s="219"/>
      <c r="ABF1466" s="219"/>
      <c r="ABG1466" s="219"/>
      <c r="ABH1466" s="219"/>
      <c r="ABI1466" s="219"/>
      <c r="ABJ1466" s="219"/>
      <c r="ABK1466" s="219"/>
      <c r="ABL1466" s="219"/>
      <c r="ABM1466" s="219"/>
      <c r="ABN1466" s="219"/>
      <c r="ABO1466" s="219"/>
      <c r="ABP1466" s="219"/>
      <c r="ABQ1466" s="219"/>
      <c r="ABR1466" s="219"/>
      <c r="ABS1466" s="219"/>
      <c r="ABT1466" s="219"/>
      <c r="ABU1466" s="219"/>
      <c r="ABV1466" s="219"/>
      <c r="ABW1466" s="219"/>
      <c r="ABX1466" s="219"/>
      <c r="ABY1466" s="219"/>
      <c r="ABZ1466" s="219"/>
      <c r="ACA1466" s="219"/>
      <c r="ACB1466" s="219"/>
      <c r="ACC1466" s="219"/>
      <c r="ACD1466" s="219"/>
      <c r="ACE1466" s="219"/>
      <c r="ACF1466" s="219"/>
      <c r="ACG1466" s="219"/>
      <c r="ACH1466" s="219"/>
      <c r="ACI1466" s="219"/>
      <c r="ACJ1466" s="219"/>
      <c r="ACK1466" s="219"/>
      <c r="ACL1466" s="219"/>
      <c r="ACM1466" s="219"/>
      <c r="ACN1466" s="219"/>
      <c r="ACO1466" s="219"/>
      <c r="ACP1466" s="219"/>
      <c r="ACQ1466" s="219"/>
      <c r="ACR1466" s="219"/>
      <c r="ACS1466" s="219"/>
      <c r="ACT1466" s="219"/>
      <c r="ACU1466" s="219"/>
      <c r="ACV1466" s="219"/>
      <c r="ACW1466" s="219"/>
      <c r="ACX1466" s="219"/>
      <c r="ACY1466" s="219"/>
      <c r="ACZ1466" s="219"/>
      <c r="ADA1466" s="219"/>
      <c r="ADB1466" s="219"/>
      <c r="ADC1466" s="219"/>
      <c r="ADD1466" s="219"/>
      <c r="ADE1466" s="219"/>
      <c r="ADF1466" s="219"/>
      <c r="ADG1466" s="219"/>
      <c r="ADH1466" s="219"/>
      <c r="ADI1466" s="219"/>
      <c r="ADJ1466" s="219"/>
      <c r="ADK1466" s="219"/>
      <c r="ADL1466" s="219"/>
      <c r="ADM1466" s="219"/>
      <c r="ADN1466" s="219"/>
      <c r="ADO1466" s="219"/>
      <c r="ADP1466" s="219"/>
      <c r="ADQ1466" s="219"/>
      <c r="ADR1466" s="219"/>
      <c r="ADS1466" s="219"/>
      <c r="ADT1466" s="219"/>
      <c r="ADU1466" s="219"/>
      <c r="ADV1466" s="219"/>
      <c r="ADW1466" s="219"/>
      <c r="ADX1466" s="219"/>
      <c r="ADY1466" s="219"/>
      <c r="ADZ1466" s="219"/>
      <c r="AEA1466" s="219"/>
      <c r="AEB1466" s="219"/>
      <c r="AEC1466" s="219"/>
      <c r="AED1466" s="219"/>
      <c r="AEE1466" s="219"/>
      <c r="AEF1466" s="219"/>
      <c r="AEG1466" s="219"/>
      <c r="AEH1466" s="219"/>
      <c r="AEI1466" s="219"/>
      <c r="AEJ1466" s="219"/>
      <c r="AEK1466" s="219"/>
      <c r="AEL1466" s="219"/>
      <c r="AEM1466" s="219"/>
      <c r="AEN1466" s="219"/>
      <c r="AEO1466" s="219"/>
      <c r="AEP1466" s="219"/>
      <c r="AEQ1466" s="219"/>
      <c r="AER1466" s="219"/>
      <c r="AES1466" s="219"/>
      <c r="AET1466" s="219"/>
      <c r="AEU1466" s="219"/>
      <c r="AEV1466" s="219"/>
      <c r="AEW1466" s="219"/>
      <c r="AEX1466" s="219"/>
      <c r="AEY1466" s="219"/>
      <c r="AEZ1466" s="219"/>
      <c r="AFA1466" s="219"/>
      <c r="AFB1466" s="219"/>
      <c r="AFC1466" s="219"/>
      <c r="AFD1466" s="219"/>
      <c r="AFE1466" s="219"/>
      <c r="AFF1466" s="219"/>
      <c r="AFG1466" s="219"/>
      <c r="AFH1466" s="219"/>
      <c r="AFI1466" s="219"/>
      <c r="AFJ1466" s="219"/>
      <c r="AFK1466" s="219"/>
      <c r="AFL1466" s="219"/>
      <c r="AFM1466" s="219"/>
      <c r="AFN1466" s="219"/>
      <c r="AFO1466" s="219"/>
      <c r="AFP1466" s="219"/>
      <c r="AFQ1466" s="219"/>
      <c r="AFR1466" s="219"/>
      <c r="AFS1466" s="219"/>
      <c r="AFT1466" s="219"/>
      <c r="AFU1466" s="219"/>
      <c r="AFV1466" s="219"/>
      <c r="AFW1466" s="219"/>
      <c r="AFX1466" s="219"/>
      <c r="AFY1466" s="219"/>
      <c r="AFZ1466" s="219"/>
      <c r="AGA1466" s="219"/>
      <c r="AGB1466" s="219"/>
      <c r="AGC1466" s="219"/>
      <c r="AGD1466" s="219"/>
      <c r="AGE1466" s="219"/>
      <c r="AGF1466" s="219"/>
      <c r="AGG1466" s="219"/>
      <c r="AGH1466" s="219"/>
      <c r="AGI1466" s="219"/>
      <c r="AGJ1466" s="219"/>
      <c r="AGK1466" s="219"/>
      <c r="AGL1466" s="219"/>
      <c r="AGM1466" s="219"/>
      <c r="AGN1466" s="219"/>
      <c r="AGO1466" s="219"/>
      <c r="AGP1466" s="219"/>
      <c r="AGQ1466" s="219"/>
      <c r="AGR1466" s="219"/>
      <c r="AGS1466" s="219"/>
      <c r="AGT1466" s="219"/>
      <c r="AGU1466" s="219"/>
      <c r="AGV1466" s="219"/>
      <c r="AGW1466" s="219"/>
      <c r="AGX1466" s="219"/>
      <c r="AGY1466" s="219"/>
      <c r="AGZ1466" s="219"/>
      <c r="AHA1466" s="219"/>
      <c r="AHB1466" s="219"/>
      <c r="AHC1466" s="219"/>
      <c r="AHD1466" s="219"/>
      <c r="AHE1466" s="219"/>
      <c r="AHF1466" s="219"/>
      <c r="AHG1466" s="219"/>
      <c r="AHH1466" s="219"/>
      <c r="AHI1466" s="219"/>
      <c r="AHJ1466" s="219"/>
      <c r="AHK1466" s="219"/>
      <c r="AHL1466" s="219"/>
      <c r="AHM1466" s="219"/>
      <c r="AHN1466" s="219"/>
      <c r="AHO1466" s="219"/>
      <c r="AHP1466" s="219"/>
      <c r="AHQ1466" s="219"/>
      <c r="AHR1466" s="219"/>
      <c r="AHS1466" s="219"/>
      <c r="AHT1466" s="219"/>
      <c r="AHU1466" s="219"/>
      <c r="AHV1466" s="219"/>
      <c r="AHW1466" s="219"/>
      <c r="AHX1466" s="219"/>
      <c r="AHY1466" s="219"/>
      <c r="AHZ1466" s="219"/>
      <c r="AIA1466" s="219"/>
      <c r="AIB1466" s="219"/>
      <c r="AIC1466" s="219"/>
      <c r="AID1466" s="219"/>
      <c r="AIE1466" s="219"/>
      <c r="AIF1466" s="219"/>
      <c r="AIG1466" s="219"/>
      <c r="AIH1466" s="219"/>
      <c r="AII1466" s="219"/>
      <c r="AIJ1466" s="219"/>
      <c r="AIK1466" s="219"/>
      <c r="AIL1466" s="219"/>
      <c r="AIM1466" s="219"/>
      <c r="AIN1466" s="219"/>
      <c r="AIO1466" s="219"/>
      <c r="AIP1466" s="219"/>
      <c r="AIQ1466" s="219"/>
      <c r="AIR1466" s="219"/>
      <c r="AIS1466" s="219"/>
      <c r="AIT1466" s="219"/>
      <c r="AIU1466" s="219"/>
      <c r="AIV1466" s="219"/>
      <c r="AIW1466" s="219"/>
      <c r="AIX1466" s="219"/>
      <c r="AIY1466" s="219"/>
      <c r="AIZ1466" s="219"/>
      <c r="AJA1466" s="219"/>
      <c r="AJB1466" s="219"/>
      <c r="AJC1466" s="219"/>
      <c r="AJD1466" s="219"/>
      <c r="AJE1466" s="219"/>
      <c r="AJF1466" s="219"/>
      <c r="AJG1466" s="219"/>
      <c r="AJH1466" s="219"/>
      <c r="AJI1466" s="219"/>
      <c r="AJJ1466" s="219"/>
      <c r="AJK1466" s="219"/>
      <c r="AJL1466" s="219"/>
      <c r="AJM1466" s="219"/>
      <c r="AJN1466" s="219"/>
      <c r="AJO1466" s="219"/>
      <c r="AJP1466" s="219"/>
      <c r="AJQ1466" s="219"/>
      <c r="AJR1466" s="219"/>
      <c r="AJS1466" s="219"/>
      <c r="AJT1466" s="219"/>
      <c r="AJU1466" s="219"/>
      <c r="AJV1466" s="219"/>
      <c r="AJW1466" s="219"/>
      <c r="AJX1466" s="219"/>
      <c r="AJY1466" s="219"/>
      <c r="AJZ1466" s="219"/>
      <c r="AKA1466" s="219"/>
      <c r="AKB1466" s="219"/>
      <c r="AKC1466" s="219"/>
      <c r="AKD1466" s="219"/>
      <c r="AKE1466" s="219"/>
      <c r="AKF1466" s="219"/>
      <c r="AKG1466" s="219"/>
      <c r="AKH1466" s="219"/>
      <c r="AKI1466" s="219"/>
      <c r="AKJ1466" s="219"/>
      <c r="AKK1466" s="219"/>
      <c r="AKL1466" s="219"/>
      <c r="AKM1466" s="219"/>
      <c r="AKN1466" s="219"/>
      <c r="AKO1466" s="219"/>
      <c r="AKP1466" s="219"/>
      <c r="AKQ1466" s="219"/>
      <c r="AKR1466" s="219"/>
      <c r="AKS1466" s="219"/>
      <c r="AKT1466" s="219"/>
      <c r="AKU1466" s="219"/>
      <c r="AKV1466" s="219"/>
      <c r="AKW1466" s="219"/>
      <c r="AKX1466" s="219"/>
      <c r="AKY1466" s="219"/>
      <c r="AKZ1466" s="219"/>
      <c r="ALA1466" s="219"/>
      <c r="ALB1466" s="219"/>
      <c r="ALC1466" s="219"/>
      <c r="ALD1466" s="219"/>
      <c r="ALE1466" s="219"/>
      <c r="ALF1466" s="219"/>
      <c r="ALG1466" s="219"/>
      <c r="ALH1466" s="219"/>
      <c r="ALI1466" s="219"/>
      <c r="ALJ1466" s="219"/>
      <c r="ALK1466" s="219"/>
      <c r="ALL1466" s="219"/>
      <c r="ALM1466" s="219"/>
      <c r="ALN1466" s="219"/>
      <c r="ALO1466" s="219"/>
      <c r="ALP1466" s="219"/>
      <c r="ALQ1466" s="219"/>
      <c r="ALR1466" s="219"/>
      <c r="ALS1466" s="219"/>
      <c r="ALT1466" s="219"/>
      <c r="ALU1466" s="219"/>
      <c r="ALV1466" s="219"/>
      <c r="ALW1466" s="219"/>
      <c r="ALX1466" s="219"/>
      <c r="ALY1466" s="219"/>
      <c r="ALZ1466" s="219"/>
      <c r="AMA1466" s="219"/>
      <c r="AMB1466" s="219"/>
      <c r="AMC1466" s="219"/>
      <c r="AMD1466" s="219"/>
      <c r="AME1466" s="219"/>
      <c r="AMF1466" s="219"/>
      <c r="AMG1466" s="219"/>
      <c r="AMH1466" s="219"/>
      <c r="AMI1466" s="219"/>
      <c r="AMJ1466" s="219"/>
      <c r="AMK1466" s="219"/>
    </row>
    <row r="1467" spans="1:1025" s="2" customFormat="1" ht="100.9" hidden="1" customHeight="1" x14ac:dyDescent="0.25">
      <c r="A1467" s="201"/>
      <c r="B1467" s="202"/>
      <c r="C1467" s="202"/>
      <c r="D1467" s="202"/>
      <c r="E1467" s="202"/>
      <c r="F1467" s="202"/>
      <c r="G1467" s="202"/>
      <c r="H1467" s="202"/>
      <c r="I1467" s="203"/>
      <c r="J1467" s="226" t="s">
        <v>1004</v>
      </c>
      <c r="K1467" s="227">
        <f t="shared" ref="K1467:K1477" si="26">K1387</f>
        <v>55263</v>
      </c>
      <c r="L1467" s="228" t="s">
        <v>3</v>
      </c>
      <c r="M1467" s="908">
        <f t="shared" ref="M1467:M1477" si="27">M1387</f>
        <v>53192.5</v>
      </c>
      <c r="N1467" s="194"/>
      <c r="O1467" s="55"/>
      <c r="P1467" s="226" t="s">
        <v>1004</v>
      </c>
      <c r="Q1467" s="227">
        <f t="shared" ref="Q1467:Q1477" si="28">Q1387</f>
        <v>75084</v>
      </c>
      <c r="R1467" s="228" t="s">
        <v>3</v>
      </c>
      <c r="S1467" s="229">
        <f t="shared" ref="S1467:S1477" si="29">S1387</f>
        <v>38714.300000000003</v>
      </c>
      <c r="T1467" s="194"/>
      <c r="U1467" s="228"/>
      <c r="V1467" s="226" t="s">
        <v>1004</v>
      </c>
      <c r="W1467" s="227">
        <f t="shared" ref="W1467:W1477" si="30">W1387</f>
        <v>88743</v>
      </c>
      <c r="X1467" s="228" t="s">
        <v>3</v>
      </c>
      <c r="Y1467" s="229">
        <f t="shared" ref="Y1467:Y1477" si="31">Y1387</f>
        <v>58297.8</v>
      </c>
      <c r="Z1467" s="194"/>
      <c r="AA1467" s="55"/>
      <c r="AB1467" s="226" t="s">
        <v>1004</v>
      </c>
      <c r="AC1467" s="227">
        <f t="shared" ref="AC1467:AC1477" si="32">AC1387</f>
        <v>112695</v>
      </c>
      <c r="AD1467" s="228" t="s">
        <v>3</v>
      </c>
      <c r="AE1467" s="229">
        <f t="shared" ref="AE1467:AE1477" si="33">AE1387</f>
        <v>73922.600000000006</v>
      </c>
      <c r="AF1467" s="194"/>
      <c r="AG1467" s="55"/>
      <c r="AH1467" s="226" t="s">
        <v>1004</v>
      </c>
      <c r="AI1467" s="227">
        <f t="shared" ref="AI1467:AI1477" si="34">AI1387</f>
        <v>19080</v>
      </c>
      <c r="AJ1467" s="228" t="s">
        <v>3</v>
      </c>
      <c r="AK1467" s="229">
        <f t="shared" ref="AK1467:AK1477" si="35">AK1387</f>
        <v>13101.8</v>
      </c>
      <c r="AL1467" s="194"/>
      <c r="AM1467" s="55"/>
      <c r="AN1467" s="226" t="s">
        <v>1004</v>
      </c>
      <c r="AO1467" s="227">
        <f t="shared" ref="AO1467:AO1477" si="36">AO1387</f>
        <v>19520</v>
      </c>
      <c r="AP1467" s="228" t="s">
        <v>3</v>
      </c>
      <c r="AQ1467" s="229">
        <f t="shared" ref="AQ1467:AQ1477" si="37">AQ1387</f>
        <v>13402.5</v>
      </c>
      <c r="AR1467" s="1170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  <c r="EA1467" s="1"/>
      <c r="EB1467" s="1"/>
      <c r="EC1467" s="1"/>
      <c r="ED1467" s="1"/>
      <c r="EE1467" s="1"/>
      <c r="EF1467" s="1"/>
      <c r="EG1467" s="1"/>
      <c r="EH1467" s="1"/>
      <c r="EI1467" s="1"/>
      <c r="EJ1467" s="1"/>
      <c r="EK1467" s="1"/>
      <c r="EL1467" s="1"/>
      <c r="EM1467" s="1"/>
      <c r="EN1467" s="1"/>
      <c r="EO1467" s="1"/>
      <c r="EP1467" s="1"/>
      <c r="EQ1467" s="1"/>
      <c r="ER1467" s="1"/>
      <c r="ES1467" s="1"/>
      <c r="ET1467" s="1"/>
      <c r="EU1467" s="1"/>
      <c r="EV1467" s="1"/>
      <c r="EW1467" s="1"/>
      <c r="EX1467" s="1"/>
      <c r="EY1467" s="1"/>
      <c r="EZ1467" s="1"/>
      <c r="FA1467" s="1"/>
      <c r="FB1467" s="1"/>
      <c r="FC1467" s="1"/>
      <c r="FD1467" s="1"/>
      <c r="FE1467" s="1"/>
      <c r="FF1467" s="1"/>
      <c r="FG1467" s="1"/>
      <c r="FH1467" s="1"/>
      <c r="FI1467" s="1"/>
      <c r="FJ1467" s="1"/>
      <c r="FK1467" s="1"/>
      <c r="FL1467" s="1"/>
      <c r="FM1467" s="1"/>
      <c r="FN1467" s="1"/>
      <c r="FO1467" s="1"/>
      <c r="FP1467" s="1"/>
      <c r="FQ1467" s="1"/>
      <c r="FR1467" s="1"/>
      <c r="FS1467" s="1"/>
      <c r="FT1467" s="1"/>
      <c r="FU1467" s="1"/>
      <c r="FV1467" s="1"/>
      <c r="FW1467" s="1"/>
      <c r="FX1467" s="1"/>
      <c r="FY1467" s="1"/>
      <c r="FZ1467" s="1"/>
      <c r="GA1467" s="1"/>
      <c r="GB1467" s="1"/>
      <c r="GC1467" s="1"/>
      <c r="GD1467" s="1"/>
      <c r="GE1467" s="1"/>
      <c r="GF1467" s="1"/>
      <c r="GG1467" s="1"/>
      <c r="GH1467" s="1"/>
      <c r="GI1467" s="1"/>
      <c r="GJ1467" s="1"/>
      <c r="GK1467" s="1"/>
      <c r="GL1467" s="1"/>
      <c r="GM1467" s="1"/>
      <c r="GN1467" s="1"/>
      <c r="GO1467" s="1"/>
      <c r="GP1467" s="1"/>
      <c r="GQ1467" s="1"/>
      <c r="GR1467" s="1"/>
      <c r="GS1467" s="1"/>
      <c r="GT1467" s="1"/>
      <c r="GU1467" s="1"/>
      <c r="GV1467" s="1"/>
      <c r="GW1467" s="1"/>
      <c r="GX1467" s="1"/>
      <c r="GY1467" s="1"/>
      <c r="GZ1467" s="1"/>
      <c r="HA1467" s="1"/>
      <c r="HB1467" s="1"/>
      <c r="HC1467" s="1"/>
      <c r="HD1467" s="1"/>
      <c r="HE1467" s="1"/>
      <c r="HF1467" s="1"/>
      <c r="HG1467" s="1"/>
      <c r="HH1467" s="1"/>
      <c r="HI1467" s="1"/>
      <c r="HJ1467" s="1"/>
      <c r="HK1467" s="1"/>
      <c r="HL1467" s="1"/>
      <c r="HM1467" s="1"/>
      <c r="HN1467" s="1"/>
      <c r="HO1467" s="1"/>
      <c r="HP1467" s="1"/>
      <c r="HQ1467" s="1"/>
      <c r="HR1467" s="1"/>
      <c r="HS1467" s="1"/>
      <c r="HT1467" s="1"/>
      <c r="HU1467" s="1"/>
      <c r="HV1467" s="1"/>
      <c r="HW1467" s="1"/>
      <c r="HX1467" s="1"/>
      <c r="HY1467" s="1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  <c r="IU1467" s="1"/>
      <c r="IV1467" s="1"/>
      <c r="IW1467" s="1"/>
      <c r="IX1467" s="1"/>
      <c r="IY1467" s="1"/>
      <c r="IZ1467" s="1"/>
      <c r="JA1467" s="1"/>
      <c r="JB1467" s="1"/>
      <c r="JC1467" s="1"/>
      <c r="JD1467" s="1"/>
      <c r="JE1467" s="1"/>
      <c r="JF1467" s="1"/>
      <c r="JG1467" s="1"/>
      <c r="JH1467" s="1"/>
      <c r="JI1467" s="1"/>
      <c r="JJ1467" s="1"/>
      <c r="JK1467" s="1"/>
      <c r="JL1467" s="1"/>
      <c r="JM1467" s="1"/>
      <c r="JN1467" s="1"/>
      <c r="JO1467" s="1"/>
      <c r="JP1467" s="1"/>
      <c r="JQ1467" s="1"/>
      <c r="JR1467" s="1"/>
      <c r="JS1467" s="1"/>
      <c r="JT1467" s="1"/>
      <c r="JU1467" s="1"/>
      <c r="JV1467" s="1"/>
      <c r="JW1467" s="1"/>
      <c r="JX1467" s="1"/>
      <c r="JY1467" s="1"/>
      <c r="JZ1467" s="1"/>
      <c r="KA1467" s="1"/>
      <c r="KB1467" s="1"/>
      <c r="KC1467" s="1"/>
      <c r="KD1467" s="1"/>
      <c r="KE1467" s="1"/>
      <c r="KF1467" s="1"/>
      <c r="KG1467" s="1"/>
      <c r="KH1467" s="1"/>
      <c r="KI1467" s="1"/>
      <c r="KJ1467" s="1"/>
      <c r="KK1467" s="1"/>
      <c r="KL1467" s="1"/>
      <c r="KM1467" s="1"/>
      <c r="KN1467" s="1"/>
      <c r="KO1467" s="1"/>
      <c r="KP1467" s="1"/>
      <c r="KQ1467" s="1"/>
      <c r="KR1467" s="1"/>
      <c r="KS1467" s="1"/>
      <c r="KT1467" s="1"/>
      <c r="KU1467" s="1"/>
      <c r="KV1467" s="1"/>
      <c r="KW1467" s="1"/>
      <c r="KX1467" s="1"/>
      <c r="KY1467" s="1"/>
      <c r="KZ1467" s="1"/>
      <c r="LA1467" s="1"/>
      <c r="LB1467" s="1"/>
      <c r="LC1467" s="1"/>
      <c r="LD1467" s="1"/>
      <c r="LE1467" s="1"/>
      <c r="LF1467" s="1"/>
      <c r="LG1467" s="1"/>
      <c r="LH1467" s="1"/>
      <c r="LI1467" s="1"/>
      <c r="LJ1467" s="1"/>
      <c r="LK1467" s="1"/>
      <c r="LL1467" s="1"/>
      <c r="LM1467" s="1"/>
      <c r="LN1467" s="1"/>
      <c r="LO1467" s="1"/>
      <c r="LP1467" s="1"/>
      <c r="LQ1467" s="1"/>
      <c r="LR1467" s="1"/>
      <c r="LS1467" s="1"/>
      <c r="LT1467" s="1"/>
      <c r="LU1467" s="1"/>
      <c r="LV1467" s="1"/>
      <c r="LW1467" s="1"/>
      <c r="LX1467" s="1"/>
      <c r="LY1467" s="1"/>
      <c r="LZ1467" s="1"/>
      <c r="MA1467" s="1"/>
      <c r="MB1467" s="1"/>
      <c r="MC1467" s="1"/>
      <c r="MD1467" s="1"/>
      <c r="ME1467" s="1"/>
      <c r="MF1467" s="1"/>
      <c r="MG1467" s="1"/>
      <c r="MH1467" s="1"/>
      <c r="MI1467" s="1"/>
      <c r="MJ1467" s="1"/>
      <c r="MK1467" s="1"/>
      <c r="ML1467" s="1"/>
      <c r="MM1467" s="1"/>
      <c r="MN1467" s="1"/>
      <c r="MO1467" s="1"/>
      <c r="MP1467" s="1"/>
      <c r="MQ1467" s="1"/>
      <c r="MR1467" s="1"/>
      <c r="MS1467" s="1"/>
      <c r="MT1467" s="1"/>
      <c r="MU1467" s="1"/>
      <c r="MV1467" s="1"/>
      <c r="MW1467" s="1"/>
      <c r="MX1467" s="1"/>
      <c r="MY1467" s="1"/>
      <c r="MZ1467" s="1"/>
      <c r="NA1467" s="1"/>
      <c r="NB1467" s="1"/>
      <c r="NC1467" s="1"/>
      <c r="ND1467" s="1"/>
      <c r="NE1467" s="1"/>
      <c r="NF1467" s="1"/>
      <c r="NG1467" s="1"/>
      <c r="NH1467" s="1"/>
      <c r="NI1467" s="1"/>
      <c r="NJ1467" s="1"/>
      <c r="NK1467" s="1"/>
      <c r="NL1467" s="1"/>
      <c r="NM1467" s="1"/>
      <c r="NN1467" s="1"/>
      <c r="NO1467" s="1"/>
      <c r="NP1467" s="1"/>
      <c r="NQ1467" s="1"/>
      <c r="NR1467" s="1"/>
      <c r="NS1467" s="1"/>
      <c r="NT1467" s="1"/>
      <c r="NU1467" s="1"/>
      <c r="NV1467" s="1"/>
      <c r="NW1467" s="1"/>
      <c r="NX1467" s="1"/>
      <c r="NY1467" s="1"/>
      <c r="NZ1467" s="1"/>
      <c r="OA1467" s="1"/>
      <c r="OB1467" s="1"/>
      <c r="OC1467" s="1"/>
      <c r="OD1467" s="1"/>
      <c r="OE1467" s="1"/>
      <c r="OF1467" s="1"/>
      <c r="OG1467" s="1"/>
      <c r="OH1467" s="1"/>
      <c r="OI1467" s="1"/>
      <c r="OJ1467" s="1"/>
      <c r="OK1467" s="1"/>
      <c r="OL1467" s="1"/>
      <c r="OM1467" s="1"/>
      <c r="ON1467" s="1"/>
      <c r="OO1467" s="1"/>
      <c r="OP1467" s="1"/>
      <c r="OQ1467" s="1"/>
      <c r="OR1467" s="1"/>
      <c r="OS1467" s="1"/>
      <c r="OT1467" s="1"/>
      <c r="OU1467" s="1"/>
      <c r="OV1467" s="1"/>
      <c r="OW1467" s="1"/>
      <c r="OX1467" s="1"/>
      <c r="OY1467" s="1"/>
      <c r="OZ1467" s="1"/>
      <c r="PA1467" s="1"/>
      <c r="PB1467" s="1"/>
      <c r="PC1467" s="1"/>
      <c r="PD1467" s="1"/>
      <c r="PE1467" s="1"/>
      <c r="PF1467" s="1"/>
      <c r="PG1467" s="1"/>
      <c r="PH1467" s="1"/>
      <c r="PI1467" s="1"/>
      <c r="PJ1467" s="1"/>
      <c r="PK1467" s="1"/>
      <c r="PL1467" s="1"/>
      <c r="PM1467" s="1"/>
      <c r="PN1467" s="1"/>
      <c r="PO1467" s="1"/>
      <c r="PP1467" s="1"/>
      <c r="PQ1467" s="1"/>
      <c r="PR1467" s="1"/>
      <c r="PS1467" s="1"/>
      <c r="PT1467" s="1"/>
      <c r="PU1467" s="1"/>
      <c r="PV1467" s="1"/>
      <c r="PW1467" s="1"/>
      <c r="PX1467" s="1"/>
      <c r="PY1467" s="1"/>
      <c r="PZ1467" s="1"/>
      <c r="QA1467" s="1"/>
      <c r="QB1467" s="1"/>
      <c r="QC1467" s="1"/>
      <c r="QD1467" s="1"/>
      <c r="QE1467" s="1"/>
      <c r="QF1467" s="1"/>
      <c r="QG1467" s="1"/>
      <c r="QH1467" s="1"/>
      <c r="QI1467" s="1"/>
      <c r="QJ1467" s="1"/>
      <c r="QK1467" s="1"/>
      <c r="QL1467" s="1"/>
      <c r="QM1467" s="1"/>
      <c r="QN1467" s="1"/>
      <c r="QO1467" s="1"/>
      <c r="QP1467" s="1"/>
      <c r="QQ1467" s="1"/>
      <c r="QR1467" s="1"/>
      <c r="QS1467" s="1"/>
      <c r="QT1467" s="1"/>
      <c r="QU1467" s="1"/>
      <c r="QV1467" s="1"/>
      <c r="QW1467" s="1"/>
      <c r="QX1467" s="1"/>
      <c r="QY1467" s="1"/>
      <c r="QZ1467" s="1"/>
      <c r="RA1467" s="1"/>
      <c r="RB1467" s="1"/>
      <c r="RC1467" s="1"/>
      <c r="RD1467" s="1"/>
      <c r="RE1467" s="1"/>
      <c r="RF1467" s="1"/>
      <c r="RG1467" s="1"/>
      <c r="RH1467" s="1"/>
      <c r="RI1467" s="1"/>
      <c r="RJ1467" s="1"/>
      <c r="RK1467" s="1"/>
      <c r="RL1467" s="1"/>
      <c r="RM1467" s="1"/>
      <c r="RN1467" s="1"/>
      <c r="RO1467" s="1"/>
      <c r="RP1467" s="1"/>
      <c r="RQ1467" s="1"/>
      <c r="RR1467" s="1"/>
      <c r="RS1467" s="1"/>
      <c r="RT1467" s="1"/>
      <c r="RU1467" s="1"/>
      <c r="RV1467" s="1"/>
      <c r="RW1467" s="1"/>
      <c r="RX1467" s="1"/>
      <c r="RY1467" s="1"/>
      <c r="RZ1467" s="1"/>
      <c r="SA1467" s="1"/>
      <c r="SB1467" s="1"/>
      <c r="SC1467" s="1"/>
      <c r="SD1467" s="1"/>
      <c r="SE1467" s="1"/>
      <c r="SF1467" s="1"/>
      <c r="SG1467" s="1"/>
      <c r="SH1467" s="1"/>
      <c r="SI1467" s="1"/>
      <c r="SJ1467" s="1"/>
      <c r="SK1467" s="1"/>
      <c r="SL1467" s="1"/>
      <c r="SM1467" s="1"/>
      <c r="SN1467" s="1"/>
      <c r="SO1467" s="1"/>
      <c r="SP1467" s="1"/>
      <c r="SQ1467" s="1"/>
      <c r="SR1467" s="1"/>
      <c r="SS1467" s="1"/>
      <c r="ST1467" s="1"/>
      <c r="SU1467" s="1"/>
      <c r="SV1467" s="1"/>
      <c r="SW1467" s="1"/>
      <c r="SX1467" s="1"/>
      <c r="SY1467" s="1"/>
      <c r="SZ1467" s="1"/>
      <c r="TA1467" s="1"/>
      <c r="TB1467" s="1"/>
      <c r="TC1467" s="1"/>
      <c r="TD1467" s="1"/>
      <c r="TE1467" s="1"/>
      <c r="TF1467" s="1"/>
      <c r="TG1467" s="1"/>
      <c r="TH1467" s="1"/>
      <c r="TI1467" s="1"/>
      <c r="TJ1467" s="1"/>
      <c r="TK1467" s="1"/>
      <c r="TL1467" s="1"/>
      <c r="TM1467" s="1"/>
      <c r="TN1467" s="1"/>
      <c r="TO1467" s="1"/>
      <c r="TP1467" s="1"/>
      <c r="TQ1467" s="1"/>
      <c r="TR1467" s="1"/>
      <c r="TS1467" s="1"/>
      <c r="TT1467" s="1"/>
      <c r="TU1467" s="1"/>
      <c r="TV1467" s="1"/>
      <c r="TW1467" s="1"/>
      <c r="TX1467" s="1"/>
      <c r="TY1467" s="1"/>
      <c r="TZ1467" s="1"/>
      <c r="UA1467" s="1"/>
      <c r="UB1467" s="1"/>
      <c r="UC1467" s="1"/>
      <c r="UD1467" s="1"/>
      <c r="UE1467" s="1"/>
      <c r="UF1467" s="1"/>
      <c r="UG1467" s="1"/>
      <c r="UH1467" s="1"/>
      <c r="UI1467" s="1"/>
      <c r="UJ1467" s="1"/>
      <c r="UK1467" s="1"/>
      <c r="UL1467" s="1"/>
      <c r="UM1467" s="1"/>
      <c r="UN1467" s="1"/>
      <c r="UO1467" s="1"/>
      <c r="UP1467" s="1"/>
      <c r="UQ1467" s="1"/>
      <c r="UR1467" s="1"/>
      <c r="US1467" s="1"/>
      <c r="UT1467" s="1"/>
      <c r="UU1467" s="1"/>
      <c r="UV1467" s="1"/>
      <c r="UW1467" s="1"/>
      <c r="UX1467" s="1"/>
      <c r="UY1467" s="1"/>
      <c r="UZ1467" s="1"/>
      <c r="VA1467" s="1"/>
      <c r="VB1467" s="1"/>
      <c r="VC1467" s="1"/>
      <c r="VD1467" s="1"/>
      <c r="VE1467" s="1"/>
      <c r="VF1467" s="1"/>
      <c r="VG1467" s="1"/>
      <c r="VH1467" s="1"/>
      <c r="VI1467" s="1"/>
      <c r="VJ1467" s="1"/>
      <c r="VK1467" s="1"/>
      <c r="VL1467" s="1"/>
      <c r="VM1467" s="1"/>
      <c r="VN1467" s="1"/>
      <c r="VO1467" s="1"/>
      <c r="VP1467" s="1"/>
      <c r="VQ1467" s="1"/>
      <c r="VR1467" s="1"/>
      <c r="VS1467" s="1"/>
      <c r="VT1467" s="1"/>
      <c r="VU1467" s="1"/>
      <c r="VV1467" s="1"/>
      <c r="VW1467" s="1"/>
      <c r="VX1467" s="1"/>
      <c r="VY1467" s="1"/>
      <c r="VZ1467" s="1"/>
      <c r="WA1467" s="1"/>
      <c r="WB1467" s="1"/>
      <c r="WC1467" s="1"/>
      <c r="WD1467" s="1"/>
      <c r="WE1467" s="1"/>
      <c r="WF1467" s="1"/>
      <c r="WG1467" s="1"/>
      <c r="WH1467" s="1"/>
      <c r="WI1467" s="1"/>
      <c r="WJ1467" s="1"/>
      <c r="WK1467" s="1"/>
      <c r="WL1467" s="1"/>
      <c r="WM1467" s="1"/>
      <c r="WN1467" s="1"/>
      <c r="WO1467" s="1"/>
      <c r="WP1467" s="1"/>
      <c r="WQ1467" s="1"/>
      <c r="WR1467" s="1"/>
      <c r="WS1467" s="1"/>
      <c r="WT1467" s="1"/>
      <c r="WU1467" s="1"/>
      <c r="WV1467" s="1"/>
      <c r="WW1467" s="1"/>
      <c r="WX1467" s="1"/>
      <c r="WY1467" s="1"/>
      <c r="WZ1467" s="1"/>
      <c r="XA1467" s="1"/>
      <c r="XB1467" s="1"/>
      <c r="XC1467" s="1"/>
      <c r="XD1467" s="1"/>
      <c r="XE1467" s="1"/>
      <c r="XF1467" s="1"/>
      <c r="XG1467" s="1"/>
      <c r="XH1467" s="1"/>
      <c r="XI1467" s="1"/>
      <c r="XJ1467" s="1"/>
      <c r="XK1467" s="1"/>
      <c r="XL1467" s="1"/>
      <c r="XM1467" s="1"/>
      <c r="XN1467" s="1"/>
      <c r="XO1467" s="1"/>
      <c r="XP1467" s="1"/>
      <c r="XQ1467" s="1"/>
      <c r="XR1467" s="1"/>
      <c r="XS1467" s="1"/>
      <c r="XT1467" s="1"/>
      <c r="XU1467" s="1"/>
      <c r="XV1467" s="1"/>
      <c r="XW1467" s="1"/>
      <c r="XX1467" s="1"/>
      <c r="XY1467" s="1"/>
      <c r="XZ1467" s="1"/>
      <c r="YA1467" s="1"/>
      <c r="YB1467" s="1"/>
      <c r="YC1467" s="1"/>
      <c r="YD1467" s="1"/>
      <c r="YE1467" s="1"/>
      <c r="YF1467" s="1"/>
      <c r="YG1467" s="1"/>
      <c r="YH1467" s="1"/>
      <c r="YI1467" s="1"/>
      <c r="YJ1467" s="1"/>
      <c r="YK1467" s="1"/>
      <c r="YL1467" s="1"/>
      <c r="YM1467" s="1"/>
      <c r="YN1467" s="1"/>
      <c r="YO1467" s="1"/>
      <c r="YP1467" s="1"/>
      <c r="YQ1467" s="1"/>
      <c r="YR1467" s="1"/>
      <c r="YS1467" s="1"/>
      <c r="YT1467" s="1"/>
      <c r="YU1467" s="1"/>
      <c r="YV1467" s="1"/>
      <c r="YW1467" s="1"/>
      <c r="YX1467" s="1"/>
      <c r="YY1467" s="1"/>
      <c r="YZ1467" s="1"/>
      <c r="ZA1467" s="1"/>
      <c r="ZB1467" s="1"/>
      <c r="ZC1467" s="1"/>
      <c r="ZD1467" s="1"/>
      <c r="ZE1467" s="1"/>
      <c r="ZF1467" s="1"/>
      <c r="ZG1467" s="1"/>
      <c r="ZH1467" s="1"/>
      <c r="ZI1467" s="1"/>
      <c r="ZJ1467" s="1"/>
      <c r="ZK1467" s="1"/>
      <c r="ZL1467" s="1"/>
      <c r="ZM1467" s="1"/>
      <c r="ZN1467" s="1"/>
      <c r="ZO1467" s="1"/>
      <c r="ZP1467" s="1"/>
      <c r="ZQ1467" s="1"/>
      <c r="ZR1467" s="1"/>
      <c r="ZS1467" s="1"/>
      <c r="ZT1467" s="1"/>
      <c r="ZU1467" s="1"/>
      <c r="ZV1467" s="1"/>
      <c r="ZW1467" s="1"/>
      <c r="ZX1467" s="1"/>
      <c r="ZY1467" s="1"/>
      <c r="ZZ1467" s="1"/>
      <c r="AAA1467" s="1"/>
      <c r="AAB1467" s="1"/>
      <c r="AAC1467" s="1"/>
      <c r="AAD1467" s="1"/>
      <c r="AAE1467" s="1"/>
      <c r="AAF1467" s="1"/>
      <c r="AAG1467" s="1"/>
      <c r="AAH1467" s="1"/>
      <c r="AAI1467" s="1"/>
      <c r="AAJ1467" s="1"/>
      <c r="AAK1467" s="1"/>
      <c r="AAL1467" s="1"/>
      <c r="AAM1467" s="1"/>
      <c r="AAN1467" s="1"/>
      <c r="AAO1467" s="1"/>
      <c r="AAP1467" s="1"/>
      <c r="AAQ1467" s="1"/>
      <c r="AAR1467" s="1"/>
      <c r="AAS1467" s="1"/>
      <c r="AAT1467" s="1"/>
      <c r="AAU1467" s="1"/>
      <c r="AAV1467" s="1"/>
      <c r="AAW1467" s="1"/>
      <c r="AAX1467" s="1"/>
      <c r="AAY1467" s="1"/>
      <c r="AAZ1467" s="1"/>
      <c r="ABA1467" s="1"/>
      <c r="ABB1467" s="1"/>
      <c r="ABC1467" s="1"/>
      <c r="ABD1467" s="1"/>
      <c r="ABE1467" s="1"/>
      <c r="ABF1467" s="1"/>
      <c r="ABG1467" s="1"/>
      <c r="ABH1467" s="1"/>
      <c r="ABI1467" s="1"/>
      <c r="ABJ1467" s="1"/>
      <c r="ABK1467" s="1"/>
      <c r="ABL1467" s="1"/>
      <c r="ABM1467" s="1"/>
      <c r="ABN1467" s="1"/>
      <c r="ABO1467" s="1"/>
      <c r="ABP1467" s="1"/>
      <c r="ABQ1467" s="1"/>
      <c r="ABR1467" s="1"/>
      <c r="ABS1467" s="1"/>
      <c r="ABT1467" s="1"/>
      <c r="ABU1467" s="1"/>
      <c r="ABV1467" s="1"/>
      <c r="ABW1467" s="1"/>
      <c r="ABX1467" s="1"/>
      <c r="ABY1467" s="1"/>
      <c r="ABZ1467" s="1"/>
      <c r="ACA1467" s="1"/>
      <c r="ACB1467" s="1"/>
      <c r="ACC1467" s="1"/>
      <c r="ACD1467" s="1"/>
      <c r="ACE1467" s="1"/>
      <c r="ACF1467" s="1"/>
      <c r="ACG1467" s="1"/>
      <c r="ACH1467" s="1"/>
      <c r="ACI1467" s="1"/>
      <c r="ACJ1467" s="1"/>
      <c r="ACK1467" s="1"/>
      <c r="ACL1467" s="1"/>
      <c r="ACM1467" s="1"/>
      <c r="ACN1467" s="1"/>
      <c r="ACO1467" s="1"/>
      <c r="ACP1467" s="1"/>
      <c r="ACQ1467" s="1"/>
      <c r="ACR1467" s="1"/>
      <c r="ACS1467" s="1"/>
      <c r="ACT1467" s="1"/>
      <c r="ACU1467" s="1"/>
      <c r="ACV1467" s="1"/>
      <c r="ACW1467" s="1"/>
      <c r="ACX1467" s="1"/>
      <c r="ACY1467" s="1"/>
      <c r="ACZ1467" s="1"/>
      <c r="ADA1467" s="1"/>
      <c r="ADB1467" s="1"/>
      <c r="ADC1467" s="1"/>
      <c r="ADD1467" s="1"/>
      <c r="ADE1467" s="1"/>
      <c r="ADF1467" s="1"/>
      <c r="ADG1467" s="1"/>
      <c r="ADH1467" s="1"/>
      <c r="ADI1467" s="1"/>
      <c r="ADJ1467" s="1"/>
      <c r="ADK1467" s="1"/>
      <c r="ADL1467" s="1"/>
      <c r="ADM1467" s="1"/>
      <c r="ADN1467" s="1"/>
      <c r="ADO1467" s="1"/>
      <c r="ADP1467" s="1"/>
      <c r="ADQ1467" s="1"/>
      <c r="ADR1467" s="1"/>
      <c r="ADS1467" s="1"/>
      <c r="ADT1467" s="1"/>
      <c r="ADU1467" s="1"/>
      <c r="ADV1467" s="1"/>
      <c r="ADW1467" s="1"/>
      <c r="ADX1467" s="1"/>
      <c r="ADY1467" s="1"/>
      <c r="ADZ1467" s="1"/>
      <c r="AEA1467" s="1"/>
      <c r="AEB1467" s="1"/>
      <c r="AEC1467" s="1"/>
      <c r="AED1467" s="1"/>
      <c r="AEE1467" s="1"/>
      <c r="AEF1467" s="1"/>
      <c r="AEG1467" s="1"/>
      <c r="AEH1467" s="1"/>
      <c r="AEI1467" s="1"/>
      <c r="AEJ1467" s="1"/>
      <c r="AEK1467" s="1"/>
      <c r="AEL1467" s="1"/>
      <c r="AEM1467" s="1"/>
      <c r="AEN1467" s="1"/>
      <c r="AEO1467" s="1"/>
      <c r="AEP1467" s="1"/>
      <c r="AEQ1467" s="1"/>
      <c r="AER1467" s="1"/>
      <c r="AES1467" s="1"/>
      <c r="AET1467" s="1"/>
      <c r="AEU1467" s="1"/>
      <c r="AEV1467" s="1"/>
      <c r="AEW1467" s="1"/>
      <c r="AEX1467" s="1"/>
      <c r="AEY1467" s="1"/>
      <c r="AEZ1467" s="1"/>
      <c r="AFA1467" s="1"/>
      <c r="AFB1467" s="1"/>
      <c r="AFC1467" s="1"/>
      <c r="AFD1467" s="1"/>
      <c r="AFE1467" s="1"/>
      <c r="AFF1467" s="1"/>
      <c r="AFG1467" s="1"/>
      <c r="AFH1467" s="1"/>
      <c r="AFI1467" s="1"/>
      <c r="AFJ1467" s="1"/>
      <c r="AFK1467" s="1"/>
      <c r="AFL1467" s="1"/>
      <c r="AFM1467" s="1"/>
      <c r="AFN1467" s="1"/>
      <c r="AFO1467" s="1"/>
      <c r="AFP1467" s="1"/>
      <c r="AFQ1467" s="1"/>
      <c r="AFR1467" s="1"/>
      <c r="AFS1467" s="1"/>
      <c r="AFT1467" s="1"/>
      <c r="AFU1467" s="1"/>
      <c r="AFV1467" s="1"/>
      <c r="AFW1467" s="1"/>
      <c r="AFX1467" s="1"/>
      <c r="AFY1467" s="1"/>
      <c r="AFZ1467" s="1"/>
      <c r="AGA1467" s="1"/>
      <c r="AGB1467" s="1"/>
      <c r="AGC1467" s="1"/>
      <c r="AGD1467" s="1"/>
      <c r="AGE1467" s="1"/>
      <c r="AGF1467" s="1"/>
      <c r="AGG1467" s="1"/>
      <c r="AGH1467" s="1"/>
      <c r="AGI1467" s="1"/>
      <c r="AGJ1467" s="1"/>
      <c r="AGK1467" s="1"/>
      <c r="AGL1467" s="1"/>
      <c r="AGM1467" s="1"/>
      <c r="AGN1467" s="1"/>
      <c r="AGO1467" s="1"/>
      <c r="AGP1467" s="1"/>
      <c r="AGQ1467" s="1"/>
      <c r="AGR1467" s="1"/>
      <c r="AGS1467" s="1"/>
      <c r="AGT1467" s="1"/>
      <c r="AGU1467" s="1"/>
      <c r="AGV1467" s="1"/>
      <c r="AGW1467" s="1"/>
      <c r="AGX1467" s="1"/>
      <c r="AGY1467" s="1"/>
      <c r="AGZ1467" s="1"/>
      <c r="AHA1467" s="1"/>
      <c r="AHB1467" s="1"/>
      <c r="AHC1467" s="1"/>
      <c r="AHD1467" s="1"/>
      <c r="AHE1467" s="1"/>
      <c r="AHF1467" s="1"/>
      <c r="AHG1467" s="1"/>
      <c r="AHH1467" s="1"/>
      <c r="AHI1467" s="1"/>
      <c r="AHJ1467" s="1"/>
      <c r="AHK1467" s="1"/>
      <c r="AHL1467" s="1"/>
      <c r="AHM1467" s="1"/>
      <c r="AHN1467" s="1"/>
      <c r="AHO1467" s="1"/>
      <c r="AHP1467" s="1"/>
      <c r="AHQ1467" s="1"/>
      <c r="AHR1467" s="1"/>
      <c r="AHS1467" s="1"/>
      <c r="AHT1467" s="1"/>
      <c r="AHU1467" s="1"/>
      <c r="AHV1467" s="1"/>
      <c r="AHW1467" s="1"/>
      <c r="AHX1467" s="1"/>
      <c r="AHY1467" s="1"/>
      <c r="AHZ1467" s="1"/>
      <c r="AIA1467" s="1"/>
      <c r="AIB1467" s="1"/>
      <c r="AIC1467" s="1"/>
      <c r="AID1467" s="1"/>
      <c r="AIE1467" s="1"/>
      <c r="AIF1467" s="1"/>
      <c r="AIG1467" s="1"/>
      <c r="AIH1467" s="1"/>
      <c r="AII1467" s="1"/>
      <c r="AIJ1467" s="1"/>
      <c r="AIK1467" s="1"/>
      <c r="AIL1467" s="1"/>
      <c r="AIM1467" s="1"/>
      <c r="AIN1467" s="1"/>
      <c r="AIO1467" s="1"/>
      <c r="AIP1467" s="1"/>
      <c r="AIQ1467" s="1"/>
      <c r="AIR1467" s="1"/>
      <c r="AIS1467" s="1"/>
      <c r="AIT1467" s="1"/>
      <c r="AIU1467" s="1"/>
      <c r="AIV1467" s="1"/>
      <c r="AIW1467" s="1"/>
      <c r="AIX1467" s="1"/>
      <c r="AIY1467" s="1"/>
      <c r="AIZ1467" s="1"/>
      <c r="AJA1467" s="1"/>
      <c r="AJB1467" s="1"/>
      <c r="AJC1467" s="1"/>
      <c r="AJD1467" s="1"/>
      <c r="AJE1467" s="1"/>
      <c r="AJF1467" s="1"/>
      <c r="AJG1467" s="1"/>
      <c r="AJH1467" s="1"/>
      <c r="AJI1467" s="1"/>
      <c r="AJJ1467" s="1"/>
      <c r="AJK1467" s="1"/>
      <c r="AJL1467" s="1"/>
      <c r="AJM1467" s="1"/>
      <c r="AJN1467" s="1"/>
      <c r="AJO1467" s="1"/>
      <c r="AJP1467" s="1"/>
      <c r="AJQ1467" s="1"/>
      <c r="AJR1467" s="1"/>
      <c r="AJS1467" s="1"/>
      <c r="AJT1467" s="1"/>
      <c r="AJU1467" s="1"/>
      <c r="AJV1467" s="1"/>
      <c r="AJW1467" s="1"/>
      <c r="AJX1467" s="1"/>
      <c r="AJY1467" s="1"/>
      <c r="AJZ1467" s="1"/>
      <c r="AKA1467" s="1"/>
      <c r="AKB1467" s="1"/>
      <c r="AKC1467" s="1"/>
      <c r="AKD1467" s="1"/>
      <c r="AKE1467" s="1"/>
      <c r="AKF1467" s="1"/>
      <c r="AKG1467" s="1"/>
      <c r="AKH1467" s="1"/>
      <c r="AKI1467" s="1"/>
      <c r="AKJ1467" s="1"/>
      <c r="AKK1467" s="1"/>
      <c r="AKL1467" s="1"/>
      <c r="AKM1467" s="1"/>
      <c r="AKN1467" s="1"/>
      <c r="AKO1467" s="1"/>
      <c r="AKP1467" s="1"/>
      <c r="AKQ1467" s="1"/>
      <c r="AKR1467" s="1"/>
      <c r="AKS1467" s="1"/>
      <c r="AKT1467" s="1"/>
      <c r="AKU1467" s="1"/>
      <c r="AKV1467" s="1"/>
      <c r="AKW1467" s="1"/>
      <c r="AKX1467" s="1"/>
      <c r="AKY1467" s="1"/>
      <c r="AKZ1467" s="1"/>
      <c r="ALA1467" s="1"/>
      <c r="ALB1467" s="1"/>
      <c r="ALC1467" s="1"/>
      <c r="ALD1467" s="1"/>
      <c r="ALE1467" s="1"/>
      <c r="ALF1467" s="1"/>
      <c r="ALG1467" s="1"/>
      <c r="ALH1467" s="1"/>
      <c r="ALI1467" s="1"/>
      <c r="ALJ1467" s="1"/>
      <c r="ALK1467" s="1"/>
      <c r="ALL1467" s="1"/>
      <c r="ALM1467" s="1"/>
      <c r="ALN1467" s="1"/>
      <c r="ALO1467" s="1"/>
      <c r="ALP1467" s="1"/>
      <c r="ALQ1467" s="1"/>
      <c r="ALR1467" s="1"/>
      <c r="ALS1467" s="1"/>
      <c r="ALT1467" s="1"/>
      <c r="ALU1467" s="1"/>
      <c r="ALV1467" s="1"/>
      <c r="ALW1467" s="1"/>
      <c r="ALX1467" s="1"/>
      <c r="ALY1467" s="1"/>
      <c r="ALZ1467" s="1"/>
      <c r="AMA1467" s="1"/>
      <c r="AMB1467" s="1"/>
      <c r="AMC1467" s="1"/>
      <c r="AMD1467" s="1"/>
      <c r="AME1467" s="1"/>
      <c r="AMF1467" s="1"/>
      <c r="AMG1467" s="1"/>
      <c r="AMH1467" s="1"/>
      <c r="AMI1467" s="1"/>
      <c r="AMJ1467" s="1"/>
      <c r="AMK1467" s="1"/>
    </row>
    <row r="1468" spans="1:1025" s="2" customFormat="1" ht="99" hidden="1" customHeight="1" x14ac:dyDescent="0.25">
      <c r="A1468" s="201"/>
      <c r="B1468" s="202"/>
      <c r="C1468" s="202"/>
      <c r="D1468" s="202"/>
      <c r="E1468" s="202"/>
      <c r="F1468" s="202"/>
      <c r="G1468" s="202"/>
      <c r="H1468" s="202"/>
      <c r="I1468" s="203"/>
      <c r="J1468" s="226" t="s">
        <v>1004</v>
      </c>
      <c r="K1468" s="227">
        <f t="shared" si="26"/>
        <v>5300</v>
      </c>
      <c r="L1468" s="228" t="s">
        <v>3</v>
      </c>
      <c r="M1468" s="908">
        <f t="shared" si="27"/>
        <v>8200</v>
      </c>
      <c r="N1468" s="194"/>
      <c r="O1468" s="55"/>
      <c r="P1468" s="226" t="s">
        <v>1004</v>
      </c>
      <c r="Q1468" s="227">
        <f t="shared" si="28"/>
        <v>1350</v>
      </c>
      <c r="R1468" s="228" t="s">
        <v>3</v>
      </c>
      <c r="S1468" s="229">
        <f t="shared" si="29"/>
        <v>4.0999999999999996</v>
      </c>
      <c r="T1468" s="194"/>
      <c r="U1468" s="228"/>
      <c r="V1468" s="226" t="s">
        <v>1004</v>
      </c>
      <c r="W1468" s="227">
        <f t="shared" si="30"/>
        <v>0</v>
      </c>
      <c r="X1468" s="228" t="s">
        <v>3</v>
      </c>
      <c r="Y1468" s="229">
        <f t="shared" si="31"/>
        <v>0</v>
      </c>
      <c r="Z1468" s="194"/>
      <c r="AA1468" s="55"/>
      <c r="AB1468" s="226" t="s">
        <v>1004</v>
      </c>
      <c r="AC1468" s="227">
        <f t="shared" si="32"/>
        <v>0</v>
      </c>
      <c r="AD1468" s="228" t="s">
        <v>3</v>
      </c>
      <c r="AE1468" s="229">
        <f t="shared" si="33"/>
        <v>0</v>
      </c>
      <c r="AF1468" s="194"/>
      <c r="AG1468" s="55"/>
      <c r="AH1468" s="226" t="s">
        <v>1004</v>
      </c>
      <c r="AI1468" s="227">
        <f t="shared" si="34"/>
        <v>0</v>
      </c>
      <c r="AJ1468" s="228" t="s">
        <v>3</v>
      </c>
      <c r="AK1468" s="229">
        <f t="shared" si="35"/>
        <v>0</v>
      </c>
      <c r="AL1468" s="194"/>
      <c r="AM1468" s="55"/>
      <c r="AN1468" s="226" t="s">
        <v>1004</v>
      </c>
      <c r="AO1468" s="227">
        <f t="shared" si="36"/>
        <v>0</v>
      </c>
      <c r="AP1468" s="228" t="s">
        <v>3</v>
      </c>
      <c r="AQ1468" s="229">
        <f t="shared" si="37"/>
        <v>0</v>
      </c>
      <c r="AR1468" s="1170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  <c r="EA1468" s="1"/>
      <c r="EB1468" s="1"/>
      <c r="EC1468" s="1"/>
      <c r="ED1468" s="1"/>
      <c r="EE1468" s="1"/>
      <c r="EF1468" s="1"/>
      <c r="EG1468" s="1"/>
      <c r="EH1468" s="1"/>
      <c r="EI1468" s="1"/>
      <c r="EJ1468" s="1"/>
      <c r="EK1468" s="1"/>
      <c r="EL1468" s="1"/>
      <c r="EM1468" s="1"/>
      <c r="EN1468" s="1"/>
      <c r="EO1468" s="1"/>
      <c r="EP1468" s="1"/>
      <c r="EQ1468" s="1"/>
      <c r="ER1468" s="1"/>
      <c r="ES1468" s="1"/>
      <c r="ET1468" s="1"/>
      <c r="EU1468" s="1"/>
      <c r="EV1468" s="1"/>
      <c r="EW1468" s="1"/>
      <c r="EX1468" s="1"/>
      <c r="EY1468" s="1"/>
      <c r="EZ1468" s="1"/>
      <c r="FA1468" s="1"/>
      <c r="FB1468" s="1"/>
      <c r="FC1468" s="1"/>
      <c r="FD1468" s="1"/>
      <c r="FE1468" s="1"/>
      <c r="FF1468" s="1"/>
      <c r="FG1468" s="1"/>
      <c r="FH1468" s="1"/>
      <c r="FI1468" s="1"/>
      <c r="FJ1468" s="1"/>
      <c r="FK1468" s="1"/>
      <c r="FL1468" s="1"/>
      <c r="FM1468" s="1"/>
      <c r="FN1468" s="1"/>
      <c r="FO1468" s="1"/>
      <c r="FP1468" s="1"/>
      <c r="FQ1468" s="1"/>
      <c r="FR1468" s="1"/>
      <c r="FS1468" s="1"/>
      <c r="FT1468" s="1"/>
      <c r="FU1468" s="1"/>
      <c r="FV1468" s="1"/>
      <c r="FW1468" s="1"/>
      <c r="FX1468" s="1"/>
      <c r="FY1468" s="1"/>
      <c r="FZ1468" s="1"/>
      <c r="GA1468" s="1"/>
      <c r="GB1468" s="1"/>
      <c r="GC1468" s="1"/>
      <c r="GD1468" s="1"/>
      <c r="GE1468" s="1"/>
      <c r="GF1468" s="1"/>
      <c r="GG1468" s="1"/>
      <c r="GH1468" s="1"/>
      <c r="GI1468" s="1"/>
      <c r="GJ1468" s="1"/>
      <c r="GK1468" s="1"/>
      <c r="GL1468" s="1"/>
      <c r="GM1468" s="1"/>
      <c r="GN1468" s="1"/>
      <c r="GO1468" s="1"/>
      <c r="GP1468" s="1"/>
      <c r="GQ1468" s="1"/>
      <c r="GR1468" s="1"/>
      <c r="GS1468" s="1"/>
      <c r="GT1468" s="1"/>
      <c r="GU1468" s="1"/>
      <c r="GV1468" s="1"/>
      <c r="GW1468" s="1"/>
      <c r="GX1468" s="1"/>
      <c r="GY1468" s="1"/>
      <c r="GZ1468" s="1"/>
      <c r="HA1468" s="1"/>
      <c r="HB1468" s="1"/>
      <c r="HC1468" s="1"/>
      <c r="HD1468" s="1"/>
      <c r="HE1468" s="1"/>
      <c r="HF1468" s="1"/>
      <c r="HG1468" s="1"/>
      <c r="HH1468" s="1"/>
      <c r="HI1468" s="1"/>
      <c r="HJ1468" s="1"/>
      <c r="HK1468" s="1"/>
      <c r="HL1468" s="1"/>
      <c r="HM1468" s="1"/>
      <c r="HN1468" s="1"/>
      <c r="HO1468" s="1"/>
      <c r="HP1468" s="1"/>
      <c r="HQ1468" s="1"/>
      <c r="HR1468" s="1"/>
      <c r="HS1468" s="1"/>
      <c r="HT1468" s="1"/>
      <c r="HU1468" s="1"/>
      <c r="HV1468" s="1"/>
      <c r="HW1468" s="1"/>
      <c r="HX1468" s="1"/>
      <c r="HY1468" s="1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  <c r="IU1468" s="1"/>
      <c r="IV1468" s="1"/>
      <c r="IW1468" s="1"/>
      <c r="IX1468" s="1"/>
      <c r="IY1468" s="1"/>
      <c r="IZ1468" s="1"/>
      <c r="JA1468" s="1"/>
      <c r="JB1468" s="1"/>
      <c r="JC1468" s="1"/>
      <c r="JD1468" s="1"/>
      <c r="JE1468" s="1"/>
      <c r="JF1468" s="1"/>
      <c r="JG1468" s="1"/>
      <c r="JH1468" s="1"/>
      <c r="JI1468" s="1"/>
      <c r="JJ1468" s="1"/>
      <c r="JK1468" s="1"/>
      <c r="JL1468" s="1"/>
      <c r="JM1468" s="1"/>
      <c r="JN1468" s="1"/>
      <c r="JO1468" s="1"/>
      <c r="JP1468" s="1"/>
      <c r="JQ1468" s="1"/>
      <c r="JR1468" s="1"/>
      <c r="JS1468" s="1"/>
      <c r="JT1468" s="1"/>
      <c r="JU1468" s="1"/>
      <c r="JV1468" s="1"/>
      <c r="JW1468" s="1"/>
      <c r="JX1468" s="1"/>
      <c r="JY1468" s="1"/>
      <c r="JZ1468" s="1"/>
      <c r="KA1468" s="1"/>
      <c r="KB1468" s="1"/>
      <c r="KC1468" s="1"/>
      <c r="KD1468" s="1"/>
      <c r="KE1468" s="1"/>
      <c r="KF1468" s="1"/>
      <c r="KG1468" s="1"/>
      <c r="KH1468" s="1"/>
      <c r="KI1468" s="1"/>
      <c r="KJ1468" s="1"/>
      <c r="KK1468" s="1"/>
      <c r="KL1468" s="1"/>
      <c r="KM1468" s="1"/>
      <c r="KN1468" s="1"/>
      <c r="KO1468" s="1"/>
      <c r="KP1468" s="1"/>
      <c r="KQ1468" s="1"/>
      <c r="KR1468" s="1"/>
      <c r="KS1468" s="1"/>
      <c r="KT1468" s="1"/>
      <c r="KU1468" s="1"/>
      <c r="KV1468" s="1"/>
      <c r="KW1468" s="1"/>
      <c r="KX1468" s="1"/>
      <c r="KY1468" s="1"/>
      <c r="KZ1468" s="1"/>
      <c r="LA1468" s="1"/>
      <c r="LB1468" s="1"/>
      <c r="LC1468" s="1"/>
      <c r="LD1468" s="1"/>
      <c r="LE1468" s="1"/>
      <c r="LF1468" s="1"/>
      <c r="LG1468" s="1"/>
      <c r="LH1468" s="1"/>
      <c r="LI1468" s="1"/>
      <c r="LJ1468" s="1"/>
      <c r="LK1468" s="1"/>
      <c r="LL1468" s="1"/>
      <c r="LM1468" s="1"/>
      <c r="LN1468" s="1"/>
      <c r="LO1468" s="1"/>
      <c r="LP1468" s="1"/>
      <c r="LQ1468" s="1"/>
      <c r="LR1468" s="1"/>
      <c r="LS1468" s="1"/>
      <c r="LT1468" s="1"/>
      <c r="LU1468" s="1"/>
      <c r="LV1468" s="1"/>
      <c r="LW1468" s="1"/>
      <c r="LX1468" s="1"/>
      <c r="LY1468" s="1"/>
      <c r="LZ1468" s="1"/>
      <c r="MA1468" s="1"/>
      <c r="MB1468" s="1"/>
      <c r="MC1468" s="1"/>
      <c r="MD1468" s="1"/>
      <c r="ME1468" s="1"/>
      <c r="MF1468" s="1"/>
      <c r="MG1468" s="1"/>
      <c r="MH1468" s="1"/>
      <c r="MI1468" s="1"/>
      <c r="MJ1468" s="1"/>
      <c r="MK1468" s="1"/>
      <c r="ML1468" s="1"/>
      <c r="MM1468" s="1"/>
      <c r="MN1468" s="1"/>
      <c r="MO1468" s="1"/>
      <c r="MP1468" s="1"/>
      <c r="MQ1468" s="1"/>
      <c r="MR1468" s="1"/>
      <c r="MS1468" s="1"/>
      <c r="MT1468" s="1"/>
      <c r="MU1468" s="1"/>
      <c r="MV1468" s="1"/>
      <c r="MW1468" s="1"/>
      <c r="MX1468" s="1"/>
      <c r="MY1468" s="1"/>
      <c r="MZ1468" s="1"/>
      <c r="NA1468" s="1"/>
      <c r="NB1468" s="1"/>
      <c r="NC1468" s="1"/>
      <c r="ND1468" s="1"/>
      <c r="NE1468" s="1"/>
      <c r="NF1468" s="1"/>
      <c r="NG1468" s="1"/>
      <c r="NH1468" s="1"/>
      <c r="NI1468" s="1"/>
      <c r="NJ1468" s="1"/>
      <c r="NK1468" s="1"/>
      <c r="NL1468" s="1"/>
      <c r="NM1468" s="1"/>
      <c r="NN1468" s="1"/>
      <c r="NO1468" s="1"/>
      <c r="NP1468" s="1"/>
      <c r="NQ1468" s="1"/>
      <c r="NR1468" s="1"/>
      <c r="NS1468" s="1"/>
      <c r="NT1468" s="1"/>
      <c r="NU1468" s="1"/>
      <c r="NV1468" s="1"/>
      <c r="NW1468" s="1"/>
      <c r="NX1468" s="1"/>
      <c r="NY1468" s="1"/>
      <c r="NZ1468" s="1"/>
      <c r="OA1468" s="1"/>
      <c r="OB1468" s="1"/>
      <c r="OC1468" s="1"/>
      <c r="OD1468" s="1"/>
      <c r="OE1468" s="1"/>
      <c r="OF1468" s="1"/>
      <c r="OG1468" s="1"/>
      <c r="OH1468" s="1"/>
      <c r="OI1468" s="1"/>
      <c r="OJ1468" s="1"/>
      <c r="OK1468" s="1"/>
      <c r="OL1468" s="1"/>
      <c r="OM1468" s="1"/>
      <c r="ON1468" s="1"/>
      <c r="OO1468" s="1"/>
      <c r="OP1468" s="1"/>
      <c r="OQ1468" s="1"/>
      <c r="OR1468" s="1"/>
      <c r="OS1468" s="1"/>
      <c r="OT1468" s="1"/>
      <c r="OU1468" s="1"/>
      <c r="OV1468" s="1"/>
      <c r="OW1468" s="1"/>
      <c r="OX1468" s="1"/>
      <c r="OY1468" s="1"/>
      <c r="OZ1468" s="1"/>
      <c r="PA1468" s="1"/>
      <c r="PB1468" s="1"/>
      <c r="PC1468" s="1"/>
      <c r="PD1468" s="1"/>
      <c r="PE1468" s="1"/>
      <c r="PF1468" s="1"/>
      <c r="PG1468" s="1"/>
      <c r="PH1468" s="1"/>
      <c r="PI1468" s="1"/>
      <c r="PJ1468" s="1"/>
      <c r="PK1468" s="1"/>
      <c r="PL1468" s="1"/>
      <c r="PM1468" s="1"/>
      <c r="PN1468" s="1"/>
      <c r="PO1468" s="1"/>
      <c r="PP1468" s="1"/>
      <c r="PQ1468" s="1"/>
      <c r="PR1468" s="1"/>
      <c r="PS1468" s="1"/>
      <c r="PT1468" s="1"/>
      <c r="PU1468" s="1"/>
      <c r="PV1468" s="1"/>
      <c r="PW1468" s="1"/>
      <c r="PX1468" s="1"/>
      <c r="PY1468" s="1"/>
      <c r="PZ1468" s="1"/>
      <c r="QA1468" s="1"/>
      <c r="QB1468" s="1"/>
      <c r="QC1468" s="1"/>
      <c r="QD1468" s="1"/>
      <c r="QE1468" s="1"/>
      <c r="QF1468" s="1"/>
      <c r="QG1468" s="1"/>
      <c r="QH1468" s="1"/>
      <c r="QI1468" s="1"/>
      <c r="QJ1468" s="1"/>
      <c r="QK1468" s="1"/>
      <c r="QL1468" s="1"/>
      <c r="QM1468" s="1"/>
      <c r="QN1468" s="1"/>
      <c r="QO1468" s="1"/>
      <c r="QP1468" s="1"/>
      <c r="QQ1468" s="1"/>
      <c r="QR1468" s="1"/>
      <c r="QS1468" s="1"/>
      <c r="QT1468" s="1"/>
      <c r="QU1468" s="1"/>
      <c r="QV1468" s="1"/>
      <c r="QW1468" s="1"/>
      <c r="QX1468" s="1"/>
      <c r="QY1468" s="1"/>
      <c r="QZ1468" s="1"/>
      <c r="RA1468" s="1"/>
      <c r="RB1468" s="1"/>
      <c r="RC1468" s="1"/>
      <c r="RD1468" s="1"/>
      <c r="RE1468" s="1"/>
      <c r="RF1468" s="1"/>
      <c r="RG1468" s="1"/>
      <c r="RH1468" s="1"/>
      <c r="RI1468" s="1"/>
      <c r="RJ1468" s="1"/>
      <c r="RK1468" s="1"/>
      <c r="RL1468" s="1"/>
      <c r="RM1468" s="1"/>
      <c r="RN1468" s="1"/>
      <c r="RO1468" s="1"/>
      <c r="RP1468" s="1"/>
      <c r="RQ1468" s="1"/>
      <c r="RR1468" s="1"/>
      <c r="RS1468" s="1"/>
      <c r="RT1468" s="1"/>
      <c r="RU1468" s="1"/>
      <c r="RV1468" s="1"/>
      <c r="RW1468" s="1"/>
      <c r="RX1468" s="1"/>
      <c r="RY1468" s="1"/>
      <c r="RZ1468" s="1"/>
      <c r="SA1468" s="1"/>
      <c r="SB1468" s="1"/>
      <c r="SC1468" s="1"/>
      <c r="SD1468" s="1"/>
      <c r="SE1468" s="1"/>
      <c r="SF1468" s="1"/>
      <c r="SG1468" s="1"/>
      <c r="SH1468" s="1"/>
      <c r="SI1468" s="1"/>
      <c r="SJ1468" s="1"/>
      <c r="SK1468" s="1"/>
      <c r="SL1468" s="1"/>
      <c r="SM1468" s="1"/>
      <c r="SN1468" s="1"/>
      <c r="SO1468" s="1"/>
      <c r="SP1468" s="1"/>
      <c r="SQ1468" s="1"/>
      <c r="SR1468" s="1"/>
      <c r="SS1468" s="1"/>
      <c r="ST1468" s="1"/>
      <c r="SU1468" s="1"/>
      <c r="SV1468" s="1"/>
      <c r="SW1468" s="1"/>
      <c r="SX1468" s="1"/>
      <c r="SY1468" s="1"/>
      <c r="SZ1468" s="1"/>
      <c r="TA1468" s="1"/>
      <c r="TB1468" s="1"/>
      <c r="TC1468" s="1"/>
      <c r="TD1468" s="1"/>
      <c r="TE1468" s="1"/>
      <c r="TF1468" s="1"/>
      <c r="TG1468" s="1"/>
      <c r="TH1468" s="1"/>
      <c r="TI1468" s="1"/>
      <c r="TJ1468" s="1"/>
      <c r="TK1468" s="1"/>
      <c r="TL1468" s="1"/>
      <c r="TM1468" s="1"/>
      <c r="TN1468" s="1"/>
      <c r="TO1468" s="1"/>
      <c r="TP1468" s="1"/>
      <c r="TQ1468" s="1"/>
      <c r="TR1468" s="1"/>
      <c r="TS1468" s="1"/>
      <c r="TT1468" s="1"/>
      <c r="TU1468" s="1"/>
      <c r="TV1468" s="1"/>
      <c r="TW1468" s="1"/>
      <c r="TX1468" s="1"/>
      <c r="TY1468" s="1"/>
      <c r="TZ1468" s="1"/>
      <c r="UA1468" s="1"/>
      <c r="UB1468" s="1"/>
      <c r="UC1468" s="1"/>
      <c r="UD1468" s="1"/>
      <c r="UE1468" s="1"/>
      <c r="UF1468" s="1"/>
      <c r="UG1468" s="1"/>
      <c r="UH1468" s="1"/>
      <c r="UI1468" s="1"/>
      <c r="UJ1468" s="1"/>
      <c r="UK1468" s="1"/>
      <c r="UL1468" s="1"/>
      <c r="UM1468" s="1"/>
      <c r="UN1468" s="1"/>
      <c r="UO1468" s="1"/>
      <c r="UP1468" s="1"/>
      <c r="UQ1468" s="1"/>
      <c r="UR1468" s="1"/>
      <c r="US1468" s="1"/>
      <c r="UT1468" s="1"/>
      <c r="UU1468" s="1"/>
      <c r="UV1468" s="1"/>
      <c r="UW1468" s="1"/>
      <c r="UX1468" s="1"/>
      <c r="UY1468" s="1"/>
      <c r="UZ1468" s="1"/>
      <c r="VA1468" s="1"/>
      <c r="VB1468" s="1"/>
      <c r="VC1468" s="1"/>
      <c r="VD1468" s="1"/>
      <c r="VE1468" s="1"/>
      <c r="VF1468" s="1"/>
      <c r="VG1468" s="1"/>
      <c r="VH1468" s="1"/>
      <c r="VI1468" s="1"/>
      <c r="VJ1468" s="1"/>
      <c r="VK1468" s="1"/>
      <c r="VL1468" s="1"/>
      <c r="VM1468" s="1"/>
      <c r="VN1468" s="1"/>
      <c r="VO1468" s="1"/>
      <c r="VP1468" s="1"/>
      <c r="VQ1468" s="1"/>
      <c r="VR1468" s="1"/>
      <c r="VS1468" s="1"/>
      <c r="VT1468" s="1"/>
      <c r="VU1468" s="1"/>
      <c r="VV1468" s="1"/>
      <c r="VW1468" s="1"/>
      <c r="VX1468" s="1"/>
      <c r="VY1468" s="1"/>
      <c r="VZ1468" s="1"/>
      <c r="WA1468" s="1"/>
      <c r="WB1468" s="1"/>
      <c r="WC1468" s="1"/>
      <c r="WD1468" s="1"/>
      <c r="WE1468" s="1"/>
      <c r="WF1468" s="1"/>
      <c r="WG1468" s="1"/>
      <c r="WH1468" s="1"/>
      <c r="WI1468" s="1"/>
      <c r="WJ1468" s="1"/>
      <c r="WK1468" s="1"/>
      <c r="WL1468" s="1"/>
      <c r="WM1468" s="1"/>
      <c r="WN1468" s="1"/>
      <c r="WO1468" s="1"/>
      <c r="WP1468" s="1"/>
      <c r="WQ1468" s="1"/>
      <c r="WR1468" s="1"/>
      <c r="WS1468" s="1"/>
      <c r="WT1468" s="1"/>
      <c r="WU1468" s="1"/>
      <c r="WV1468" s="1"/>
      <c r="WW1468" s="1"/>
      <c r="WX1468" s="1"/>
      <c r="WY1468" s="1"/>
      <c r="WZ1468" s="1"/>
      <c r="XA1468" s="1"/>
      <c r="XB1468" s="1"/>
      <c r="XC1468" s="1"/>
      <c r="XD1468" s="1"/>
      <c r="XE1468" s="1"/>
      <c r="XF1468" s="1"/>
      <c r="XG1468" s="1"/>
      <c r="XH1468" s="1"/>
      <c r="XI1468" s="1"/>
      <c r="XJ1468" s="1"/>
      <c r="XK1468" s="1"/>
      <c r="XL1468" s="1"/>
      <c r="XM1468" s="1"/>
      <c r="XN1468" s="1"/>
      <c r="XO1468" s="1"/>
      <c r="XP1468" s="1"/>
      <c r="XQ1468" s="1"/>
      <c r="XR1468" s="1"/>
      <c r="XS1468" s="1"/>
      <c r="XT1468" s="1"/>
      <c r="XU1468" s="1"/>
      <c r="XV1468" s="1"/>
      <c r="XW1468" s="1"/>
      <c r="XX1468" s="1"/>
      <c r="XY1468" s="1"/>
      <c r="XZ1468" s="1"/>
      <c r="YA1468" s="1"/>
      <c r="YB1468" s="1"/>
      <c r="YC1468" s="1"/>
      <c r="YD1468" s="1"/>
      <c r="YE1468" s="1"/>
      <c r="YF1468" s="1"/>
      <c r="YG1468" s="1"/>
      <c r="YH1468" s="1"/>
      <c r="YI1468" s="1"/>
      <c r="YJ1468" s="1"/>
      <c r="YK1468" s="1"/>
      <c r="YL1468" s="1"/>
      <c r="YM1468" s="1"/>
      <c r="YN1468" s="1"/>
      <c r="YO1468" s="1"/>
      <c r="YP1468" s="1"/>
      <c r="YQ1468" s="1"/>
      <c r="YR1468" s="1"/>
      <c r="YS1468" s="1"/>
      <c r="YT1468" s="1"/>
      <c r="YU1468" s="1"/>
      <c r="YV1468" s="1"/>
      <c r="YW1468" s="1"/>
      <c r="YX1468" s="1"/>
      <c r="YY1468" s="1"/>
      <c r="YZ1468" s="1"/>
      <c r="ZA1468" s="1"/>
      <c r="ZB1468" s="1"/>
      <c r="ZC1468" s="1"/>
      <c r="ZD1468" s="1"/>
      <c r="ZE1468" s="1"/>
      <c r="ZF1468" s="1"/>
      <c r="ZG1468" s="1"/>
      <c r="ZH1468" s="1"/>
      <c r="ZI1468" s="1"/>
      <c r="ZJ1468" s="1"/>
      <c r="ZK1468" s="1"/>
      <c r="ZL1468" s="1"/>
      <c r="ZM1468" s="1"/>
      <c r="ZN1468" s="1"/>
      <c r="ZO1468" s="1"/>
      <c r="ZP1468" s="1"/>
      <c r="ZQ1468" s="1"/>
      <c r="ZR1468" s="1"/>
      <c r="ZS1468" s="1"/>
      <c r="ZT1468" s="1"/>
      <c r="ZU1468" s="1"/>
      <c r="ZV1468" s="1"/>
      <c r="ZW1468" s="1"/>
      <c r="ZX1468" s="1"/>
      <c r="ZY1468" s="1"/>
      <c r="ZZ1468" s="1"/>
      <c r="AAA1468" s="1"/>
      <c r="AAB1468" s="1"/>
      <c r="AAC1468" s="1"/>
      <c r="AAD1468" s="1"/>
      <c r="AAE1468" s="1"/>
      <c r="AAF1468" s="1"/>
      <c r="AAG1468" s="1"/>
      <c r="AAH1468" s="1"/>
      <c r="AAI1468" s="1"/>
      <c r="AAJ1468" s="1"/>
      <c r="AAK1468" s="1"/>
      <c r="AAL1468" s="1"/>
      <c r="AAM1468" s="1"/>
      <c r="AAN1468" s="1"/>
      <c r="AAO1468" s="1"/>
      <c r="AAP1468" s="1"/>
      <c r="AAQ1468" s="1"/>
      <c r="AAR1468" s="1"/>
      <c r="AAS1468" s="1"/>
      <c r="AAT1468" s="1"/>
      <c r="AAU1468" s="1"/>
      <c r="AAV1468" s="1"/>
      <c r="AAW1468" s="1"/>
      <c r="AAX1468" s="1"/>
      <c r="AAY1468" s="1"/>
      <c r="AAZ1468" s="1"/>
      <c r="ABA1468" s="1"/>
      <c r="ABB1468" s="1"/>
      <c r="ABC1468" s="1"/>
      <c r="ABD1468" s="1"/>
      <c r="ABE1468" s="1"/>
      <c r="ABF1468" s="1"/>
      <c r="ABG1468" s="1"/>
      <c r="ABH1468" s="1"/>
      <c r="ABI1468" s="1"/>
      <c r="ABJ1468" s="1"/>
      <c r="ABK1468" s="1"/>
      <c r="ABL1468" s="1"/>
      <c r="ABM1468" s="1"/>
      <c r="ABN1468" s="1"/>
      <c r="ABO1468" s="1"/>
      <c r="ABP1468" s="1"/>
      <c r="ABQ1468" s="1"/>
      <c r="ABR1468" s="1"/>
      <c r="ABS1468" s="1"/>
      <c r="ABT1468" s="1"/>
      <c r="ABU1468" s="1"/>
      <c r="ABV1468" s="1"/>
      <c r="ABW1468" s="1"/>
      <c r="ABX1468" s="1"/>
      <c r="ABY1468" s="1"/>
      <c r="ABZ1468" s="1"/>
      <c r="ACA1468" s="1"/>
      <c r="ACB1468" s="1"/>
      <c r="ACC1468" s="1"/>
      <c r="ACD1468" s="1"/>
      <c r="ACE1468" s="1"/>
      <c r="ACF1468" s="1"/>
      <c r="ACG1468" s="1"/>
      <c r="ACH1468" s="1"/>
      <c r="ACI1468" s="1"/>
      <c r="ACJ1468" s="1"/>
      <c r="ACK1468" s="1"/>
      <c r="ACL1468" s="1"/>
      <c r="ACM1468" s="1"/>
      <c r="ACN1468" s="1"/>
      <c r="ACO1468" s="1"/>
      <c r="ACP1468" s="1"/>
      <c r="ACQ1468" s="1"/>
      <c r="ACR1468" s="1"/>
      <c r="ACS1468" s="1"/>
      <c r="ACT1468" s="1"/>
      <c r="ACU1468" s="1"/>
      <c r="ACV1468" s="1"/>
      <c r="ACW1468" s="1"/>
      <c r="ACX1468" s="1"/>
      <c r="ACY1468" s="1"/>
      <c r="ACZ1468" s="1"/>
      <c r="ADA1468" s="1"/>
      <c r="ADB1468" s="1"/>
      <c r="ADC1468" s="1"/>
      <c r="ADD1468" s="1"/>
      <c r="ADE1468" s="1"/>
      <c r="ADF1468" s="1"/>
      <c r="ADG1468" s="1"/>
      <c r="ADH1468" s="1"/>
      <c r="ADI1468" s="1"/>
      <c r="ADJ1468" s="1"/>
      <c r="ADK1468" s="1"/>
      <c r="ADL1468" s="1"/>
      <c r="ADM1468" s="1"/>
      <c r="ADN1468" s="1"/>
      <c r="ADO1468" s="1"/>
      <c r="ADP1468" s="1"/>
      <c r="ADQ1468" s="1"/>
      <c r="ADR1468" s="1"/>
      <c r="ADS1468" s="1"/>
      <c r="ADT1468" s="1"/>
      <c r="ADU1468" s="1"/>
      <c r="ADV1468" s="1"/>
      <c r="ADW1468" s="1"/>
      <c r="ADX1468" s="1"/>
      <c r="ADY1468" s="1"/>
      <c r="ADZ1468" s="1"/>
      <c r="AEA1468" s="1"/>
      <c r="AEB1468" s="1"/>
      <c r="AEC1468" s="1"/>
      <c r="AED1468" s="1"/>
      <c r="AEE1468" s="1"/>
      <c r="AEF1468" s="1"/>
      <c r="AEG1468" s="1"/>
      <c r="AEH1468" s="1"/>
      <c r="AEI1468" s="1"/>
      <c r="AEJ1468" s="1"/>
      <c r="AEK1468" s="1"/>
      <c r="AEL1468" s="1"/>
      <c r="AEM1468" s="1"/>
      <c r="AEN1468" s="1"/>
      <c r="AEO1468" s="1"/>
      <c r="AEP1468" s="1"/>
      <c r="AEQ1468" s="1"/>
      <c r="AER1468" s="1"/>
      <c r="AES1468" s="1"/>
      <c r="AET1468" s="1"/>
      <c r="AEU1468" s="1"/>
      <c r="AEV1468" s="1"/>
      <c r="AEW1468" s="1"/>
      <c r="AEX1468" s="1"/>
      <c r="AEY1468" s="1"/>
      <c r="AEZ1468" s="1"/>
      <c r="AFA1468" s="1"/>
      <c r="AFB1468" s="1"/>
      <c r="AFC1468" s="1"/>
      <c r="AFD1468" s="1"/>
      <c r="AFE1468" s="1"/>
      <c r="AFF1468" s="1"/>
      <c r="AFG1468" s="1"/>
      <c r="AFH1468" s="1"/>
      <c r="AFI1468" s="1"/>
      <c r="AFJ1468" s="1"/>
      <c r="AFK1468" s="1"/>
      <c r="AFL1468" s="1"/>
      <c r="AFM1468" s="1"/>
      <c r="AFN1468" s="1"/>
      <c r="AFO1468" s="1"/>
      <c r="AFP1468" s="1"/>
      <c r="AFQ1468" s="1"/>
      <c r="AFR1468" s="1"/>
      <c r="AFS1468" s="1"/>
      <c r="AFT1468" s="1"/>
      <c r="AFU1468" s="1"/>
      <c r="AFV1468" s="1"/>
      <c r="AFW1468" s="1"/>
      <c r="AFX1468" s="1"/>
      <c r="AFY1468" s="1"/>
      <c r="AFZ1468" s="1"/>
      <c r="AGA1468" s="1"/>
      <c r="AGB1468" s="1"/>
      <c r="AGC1468" s="1"/>
      <c r="AGD1468" s="1"/>
      <c r="AGE1468" s="1"/>
      <c r="AGF1468" s="1"/>
      <c r="AGG1468" s="1"/>
      <c r="AGH1468" s="1"/>
      <c r="AGI1468" s="1"/>
      <c r="AGJ1468" s="1"/>
      <c r="AGK1468" s="1"/>
      <c r="AGL1468" s="1"/>
      <c r="AGM1468" s="1"/>
      <c r="AGN1468" s="1"/>
      <c r="AGO1468" s="1"/>
      <c r="AGP1468" s="1"/>
      <c r="AGQ1468" s="1"/>
      <c r="AGR1468" s="1"/>
      <c r="AGS1468" s="1"/>
      <c r="AGT1468" s="1"/>
      <c r="AGU1468" s="1"/>
      <c r="AGV1468" s="1"/>
      <c r="AGW1468" s="1"/>
      <c r="AGX1468" s="1"/>
      <c r="AGY1468" s="1"/>
      <c r="AGZ1468" s="1"/>
      <c r="AHA1468" s="1"/>
      <c r="AHB1468" s="1"/>
      <c r="AHC1468" s="1"/>
      <c r="AHD1468" s="1"/>
      <c r="AHE1468" s="1"/>
      <c r="AHF1468" s="1"/>
      <c r="AHG1468" s="1"/>
      <c r="AHH1468" s="1"/>
      <c r="AHI1468" s="1"/>
      <c r="AHJ1468" s="1"/>
      <c r="AHK1468" s="1"/>
      <c r="AHL1468" s="1"/>
      <c r="AHM1468" s="1"/>
      <c r="AHN1468" s="1"/>
      <c r="AHO1468" s="1"/>
      <c r="AHP1468" s="1"/>
      <c r="AHQ1468" s="1"/>
      <c r="AHR1468" s="1"/>
      <c r="AHS1468" s="1"/>
      <c r="AHT1468" s="1"/>
      <c r="AHU1468" s="1"/>
      <c r="AHV1468" s="1"/>
      <c r="AHW1468" s="1"/>
      <c r="AHX1468" s="1"/>
      <c r="AHY1468" s="1"/>
      <c r="AHZ1468" s="1"/>
      <c r="AIA1468" s="1"/>
      <c r="AIB1468" s="1"/>
      <c r="AIC1468" s="1"/>
      <c r="AID1468" s="1"/>
      <c r="AIE1468" s="1"/>
      <c r="AIF1468" s="1"/>
      <c r="AIG1468" s="1"/>
      <c r="AIH1468" s="1"/>
      <c r="AII1468" s="1"/>
      <c r="AIJ1468" s="1"/>
      <c r="AIK1468" s="1"/>
      <c r="AIL1468" s="1"/>
      <c r="AIM1468" s="1"/>
      <c r="AIN1468" s="1"/>
      <c r="AIO1468" s="1"/>
      <c r="AIP1468" s="1"/>
      <c r="AIQ1468" s="1"/>
      <c r="AIR1468" s="1"/>
      <c r="AIS1468" s="1"/>
      <c r="AIT1468" s="1"/>
      <c r="AIU1468" s="1"/>
      <c r="AIV1468" s="1"/>
      <c r="AIW1468" s="1"/>
      <c r="AIX1468" s="1"/>
      <c r="AIY1468" s="1"/>
      <c r="AIZ1468" s="1"/>
      <c r="AJA1468" s="1"/>
      <c r="AJB1468" s="1"/>
      <c r="AJC1468" s="1"/>
      <c r="AJD1468" s="1"/>
      <c r="AJE1468" s="1"/>
      <c r="AJF1468" s="1"/>
      <c r="AJG1468" s="1"/>
      <c r="AJH1468" s="1"/>
      <c r="AJI1468" s="1"/>
      <c r="AJJ1468" s="1"/>
      <c r="AJK1468" s="1"/>
      <c r="AJL1468" s="1"/>
      <c r="AJM1468" s="1"/>
      <c r="AJN1468" s="1"/>
      <c r="AJO1468" s="1"/>
      <c r="AJP1468" s="1"/>
      <c r="AJQ1468" s="1"/>
      <c r="AJR1468" s="1"/>
      <c r="AJS1468" s="1"/>
      <c r="AJT1468" s="1"/>
      <c r="AJU1468" s="1"/>
      <c r="AJV1468" s="1"/>
      <c r="AJW1468" s="1"/>
      <c r="AJX1468" s="1"/>
      <c r="AJY1468" s="1"/>
      <c r="AJZ1468" s="1"/>
      <c r="AKA1468" s="1"/>
      <c r="AKB1468" s="1"/>
      <c r="AKC1468" s="1"/>
      <c r="AKD1468" s="1"/>
      <c r="AKE1468" s="1"/>
      <c r="AKF1468" s="1"/>
      <c r="AKG1468" s="1"/>
      <c r="AKH1468" s="1"/>
      <c r="AKI1468" s="1"/>
      <c r="AKJ1468" s="1"/>
      <c r="AKK1468" s="1"/>
      <c r="AKL1468" s="1"/>
      <c r="AKM1468" s="1"/>
      <c r="AKN1468" s="1"/>
      <c r="AKO1468" s="1"/>
      <c r="AKP1468" s="1"/>
      <c r="AKQ1468" s="1"/>
      <c r="AKR1468" s="1"/>
      <c r="AKS1468" s="1"/>
      <c r="AKT1468" s="1"/>
      <c r="AKU1468" s="1"/>
      <c r="AKV1468" s="1"/>
      <c r="AKW1468" s="1"/>
      <c r="AKX1468" s="1"/>
      <c r="AKY1468" s="1"/>
      <c r="AKZ1468" s="1"/>
      <c r="ALA1468" s="1"/>
      <c r="ALB1468" s="1"/>
      <c r="ALC1468" s="1"/>
      <c r="ALD1468" s="1"/>
      <c r="ALE1468" s="1"/>
      <c r="ALF1468" s="1"/>
      <c r="ALG1468" s="1"/>
      <c r="ALH1468" s="1"/>
      <c r="ALI1468" s="1"/>
      <c r="ALJ1468" s="1"/>
      <c r="ALK1468" s="1"/>
      <c r="ALL1468" s="1"/>
      <c r="ALM1468" s="1"/>
      <c r="ALN1468" s="1"/>
      <c r="ALO1468" s="1"/>
      <c r="ALP1468" s="1"/>
      <c r="ALQ1468" s="1"/>
      <c r="ALR1468" s="1"/>
      <c r="ALS1468" s="1"/>
      <c r="ALT1468" s="1"/>
      <c r="ALU1468" s="1"/>
      <c r="ALV1468" s="1"/>
      <c r="ALW1468" s="1"/>
      <c r="ALX1468" s="1"/>
      <c r="ALY1468" s="1"/>
      <c r="ALZ1468" s="1"/>
      <c r="AMA1468" s="1"/>
      <c r="AMB1468" s="1"/>
      <c r="AMC1468" s="1"/>
      <c r="AMD1468" s="1"/>
      <c r="AME1468" s="1"/>
      <c r="AMF1468" s="1"/>
      <c r="AMG1468" s="1"/>
      <c r="AMH1468" s="1"/>
      <c r="AMI1468" s="1"/>
      <c r="AMJ1468" s="1"/>
      <c r="AMK1468" s="1"/>
    </row>
    <row r="1469" spans="1:1025" s="2" customFormat="1" ht="95.1" hidden="1" customHeight="1" x14ac:dyDescent="0.25">
      <c r="A1469" s="201"/>
      <c r="B1469" s="202"/>
      <c r="C1469" s="202"/>
      <c r="D1469" s="202"/>
      <c r="E1469" s="202"/>
      <c r="F1469" s="202"/>
      <c r="G1469" s="202"/>
      <c r="H1469" s="202"/>
      <c r="I1469" s="203"/>
      <c r="J1469" s="226" t="s">
        <v>995</v>
      </c>
      <c r="K1469" s="227">
        <f t="shared" si="26"/>
        <v>150</v>
      </c>
      <c r="L1469" s="228" t="s">
        <v>3</v>
      </c>
      <c r="M1469" s="908">
        <f t="shared" si="27"/>
        <v>200</v>
      </c>
      <c r="N1469" s="194"/>
      <c r="O1469" s="55"/>
      <c r="P1469" s="226" t="s">
        <v>995</v>
      </c>
      <c r="Q1469" s="227">
        <f t="shared" si="28"/>
        <v>5427</v>
      </c>
      <c r="R1469" s="228" t="s">
        <v>3</v>
      </c>
      <c r="S1469" s="229">
        <f t="shared" si="29"/>
        <v>1198.5999999999999</v>
      </c>
      <c r="T1469" s="194"/>
      <c r="U1469" s="228"/>
      <c r="V1469" s="226" t="s">
        <v>995</v>
      </c>
      <c r="W1469" s="227">
        <f t="shared" si="30"/>
        <v>2284</v>
      </c>
      <c r="X1469" s="228" t="s">
        <v>3</v>
      </c>
      <c r="Y1469" s="229">
        <f t="shared" si="31"/>
        <v>1484.4</v>
      </c>
      <c r="Z1469" s="194"/>
      <c r="AA1469" s="55"/>
      <c r="AB1469" s="226" t="s">
        <v>995</v>
      </c>
      <c r="AC1469" s="227">
        <f t="shared" si="32"/>
        <v>2931</v>
      </c>
      <c r="AD1469" s="228" t="s">
        <v>3</v>
      </c>
      <c r="AE1469" s="229">
        <f t="shared" si="33"/>
        <v>1979.3</v>
      </c>
      <c r="AF1469" s="194"/>
      <c r="AG1469" s="55"/>
      <c r="AH1469" s="226" t="s">
        <v>995</v>
      </c>
      <c r="AI1469" s="227">
        <f t="shared" si="34"/>
        <v>922</v>
      </c>
      <c r="AJ1469" s="228" t="s">
        <v>3</v>
      </c>
      <c r="AK1469" s="229">
        <f t="shared" si="35"/>
        <v>599.29999999999995</v>
      </c>
      <c r="AL1469" s="194"/>
      <c r="AM1469" s="55"/>
      <c r="AN1469" s="226" t="s">
        <v>995</v>
      </c>
      <c r="AO1469" s="227">
        <f t="shared" si="36"/>
        <v>922</v>
      </c>
      <c r="AP1469" s="228" t="s">
        <v>3</v>
      </c>
      <c r="AQ1469" s="229">
        <f t="shared" si="37"/>
        <v>599.29999999999995</v>
      </c>
      <c r="AR1469" s="1170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  <c r="EA1469" s="1"/>
      <c r="EB1469" s="1"/>
      <c r="EC1469" s="1"/>
      <c r="ED1469" s="1"/>
      <c r="EE1469" s="1"/>
      <c r="EF1469" s="1"/>
      <c r="EG1469" s="1"/>
      <c r="EH1469" s="1"/>
      <c r="EI1469" s="1"/>
      <c r="EJ1469" s="1"/>
      <c r="EK1469" s="1"/>
      <c r="EL1469" s="1"/>
      <c r="EM1469" s="1"/>
      <c r="EN1469" s="1"/>
      <c r="EO1469" s="1"/>
      <c r="EP1469" s="1"/>
      <c r="EQ1469" s="1"/>
      <c r="ER1469" s="1"/>
      <c r="ES1469" s="1"/>
      <c r="ET1469" s="1"/>
      <c r="EU1469" s="1"/>
      <c r="EV1469" s="1"/>
      <c r="EW1469" s="1"/>
      <c r="EX1469" s="1"/>
      <c r="EY1469" s="1"/>
      <c r="EZ1469" s="1"/>
      <c r="FA1469" s="1"/>
      <c r="FB1469" s="1"/>
      <c r="FC1469" s="1"/>
      <c r="FD1469" s="1"/>
      <c r="FE1469" s="1"/>
      <c r="FF1469" s="1"/>
      <c r="FG1469" s="1"/>
      <c r="FH1469" s="1"/>
      <c r="FI1469" s="1"/>
      <c r="FJ1469" s="1"/>
      <c r="FK1469" s="1"/>
      <c r="FL1469" s="1"/>
      <c r="FM1469" s="1"/>
      <c r="FN1469" s="1"/>
      <c r="FO1469" s="1"/>
      <c r="FP1469" s="1"/>
      <c r="FQ1469" s="1"/>
      <c r="FR1469" s="1"/>
      <c r="FS1469" s="1"/>
      <c r="FT1469" s="1"/>
      <c r="FU1469" s="1"/>
      <c r="FV1469" s="1"/>
      <c r="FW1469" s="1"/>
      <c r="FX1469" s="1"/>
      <c r="FY1469" s="1"/>
      <c r="FZ1469" s="1"/>
      <c r="GA1469" s="1"/>
      <c r="GB1469" s="1"/>
      <c r="GC1469" s="1"/>
      <c r="GD1469" s="1"/>
      <c r="GE1469" s="1"/>
      <c r="GF1469" s="1"/>
      <c r="GG1469" s="1"/>
      <c r="GH1469" s="1"/>
      <c r="GI1469" s="1"/>
      <c r="GJ1469" s="1"/>
      <c r="GK1469" s="1"/>
      <c r="GL1469" s="1"/>
      <c r="GM1469" s="1"/>
      <c r="GN1469" s="1"/>
      <c r="GO1469" s="1"/>
      <c r="GP1469" s="1"/>
      <c r="GQ1469" s="1"/>
      <c r="GR1469" s="1"/>
      <c r="GS1469" s="1"/>
      <c r="GT1469" s="1"/>
      <c r="GU1469" s="1"/>
      <c r="GV1469" s="1"/>
      <c r="GW1469" s="1"/>
      <c r="GX1469" s="1"/>
      <c r="GY1469" s="1"/>
      <c r="GZ1469" s="1"/>
      <c r="HA1469" s="1"/>
      <c r="HB1469" s="1"/>
      <c r="HC1469" s="1"/>
      <c r="HD1469" s="1"/>
      <c r="HE1469" s="1"/>
      <c r="HF1469" s="1"/>
      <c r="HG1469" s="1"/>
      <c r="HH1469" s="1"/>
      <c r="HI1469" s="1"/>
      <c r="HJ1469" s="1"/>
      <c r="HK1469" s="1"/>
      <c r="HL1469" s="1"/>
      <c r="HM1469" s="1"/>
      <c r="HN1469" s="1"/>
      <c r="HO1469" s="1"/>
      <c r="HP1469" s="1"/>
      <c r="HQ1469" s="1"/>
      <c r="HR1469" s="1"/>
      <c r="HS1469" s="1"/>
      <c r="HT1469" s="1"/>
      <c r="HU1469" s="1"/>
      <c r="HV1469" s="1"/>
      <c r="HW1469" s="1"/>
      <c r="HX1469" s="1"/>
      <c r="HY1469" s="1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  <c r="IU1469" s="1"/>
      <c r="IV1469" s="1"/>
      <c r="IW1469" s="1"/>
      <c r="IX1469" s="1"/>
      <c r="IY1469" s="1"/>
      <c r="IZ1469" s="1"/>
      <c r="JA1469" s="1"/>
      <c r="JB1469" s="1"/>
      <c r="JC1469" s="1"/>
      <c r="JD1469" s="1"/>
      <c r="JE1469" s="1"/>
      <c r="JF1469" s="1"/>
      <c r="JG1469" s="1"/>
      <c r="JH1469" s="1"/>
      <c r="JI1469" s="1"/>
      <c r="JJ1469" s="1"/>
      <c r="JK1469" s="1"/>
      <c r="JL1469" s="1"/>
      <c r="JM1469" s="1"/>
      <c r="JN1469" s="1"/>
      <c r="JO1469" s="1"/>
      <c r="JP1469" s="1"/>
      <c r="JQ1469" s="1"/>
      <c r="JR1469" s="1"/>
      <c r="JS1469" s="1"/>
      <c r="JT1469" s="1"/>
      <c r="JU1469" s="1"/>
      <c r="JV1469" s="1"/>
      <c r="JW1469" s="1"/>
      <c r="JX1469" s="1"/>
      <c r="JY1469" s="1"/>
      <c r="JZ1469" s="1"/>
      <c r="KA1469" s="1"/>
      <c r="KB1469" s="1"/>
      <c r="KC1469" s="1"/>
      <c r="KD1469" s="1"/>
      <c r="KE1469" s="1"/>
      <c r="KF1469" s="1"/>
      <c r="KG1469" s="1"/>
      <c r="KH1469" s="1"/>
      <c r="KI1469" s="1"/>
      <c r="KJ1469" s="1"/>
      <c r="KK1469" s="1"/>
      <c r="KL1469" s="1"/>
      <c r="KM1469" s="1"/>
      <c r="KN1469" s="1"/>
      <c r="KO1469" s="1"/>
      <c r="KP1469" s="1"/>
      <c r="KQ1469" s="1"/>
      <c r="KR1469" s="1"/>
      <c r="KS1469" s="1"/>
      <c r="KT1469" s="1"/>
      <c r="KU1469" s="1"/>
      <c r="KV1469" s="1"/>
      <c r="KW1469" s="1"/>
      <c r="KX1469" s="1"/>
      <c r="KY1469" s="1"/>
      <c r="KZ1469" s="1"/>
      <c r="LA1469" s="1"/>
      <c r="LB1469" s="1"/>
      <c r="LC1469" s="1"/>
      <c r="LD1469" s="1"/>
      <c r="LE1469" s="1"/>
      <c r="LF1469" s="1"/>
      <c r="LG1469" s="1"/>
      <c r="LH1469" s="1"/>
      <c r="LI1469" s="1"/>
      <c r="LJ1469" s="1"/>
      <c r="LK1469" s="1"/>
      <c r="LL1469" s="1"/>
      <c r="LM1469" s="1"/>
      <c r="LN1469" s="1"/>
      <c r="LO1469" s="1"/>
      <c r="LP1469" s="1"/>
      <c r="LQ1469" s="1"/>
      <c r="LR1469" s="1"/>
      <c r="LS1469" s="1"/>
      <c r="LT1469" s="1"/>
      <c r="LU1469" s="1"/>
      <c r="LV1469" s="1"/>
      <c r="LW1469" s="1"/>
      <c r="LX1469" s="1"/>
      <c r="LY1469" s="1"/>
      <c r="LZ1469" s="1"/>
      <c r="MA1469" s="1"/>
      <c r="MB1469" s="1"/>
      <c r="MC1469" s="1"/>
      <c r="MD1469" s="1"/>
      <c r="ME1469" s="1"/>
      <c r="MF1469" s="1"/>
      <c r="MG1469" s="1"/>
      <c r="MH1469" s="1"/>
      <c r="MI1469" s="1"/>
      <c r="MJ1469" s="1"/>
      <c r="MK1469" s="1"/>
      <c r="ML1469" s="1"/>
      <c r="MM1469" s="1"/>
      <c r="MN1469" s="1"/>
      <c r="MO1469" s="1"/>
      <c r="MP1469" s="1"/>
      <c r="MQ1469" s="1"/>
      <c r="MR1469" s="1"/>
      <c r="MS1469" s="1"/>
      <c r="MT1469" s="1"/>
      <c r="MU1469" s="1"/>
      <c r="MV1469" s="1"/>
      <c r="MW1469" s="1"/>
      <c r="MX1469" s="1"/>
      <c r="MY1469" s="1"/>
      <c r="MZ1469" s="1"/>
      <c r="NA1469" s="1"/>
      <c r="NB1469" s="1"/>
      <c r="NC1469" s="1"/>
      <c r="ND1469" s="1"/>
      <c r="NE1469" s="1"/>
      <c r="NF1469" s="1"/>
      <c r="NG1469" s="1"/>
      <c r="NH1469" s="1"/>
      <c r="NI1469" s="1"/>
      <c r="NJ1469" s="1"/>
      <c r="NK1469" s="1"/>
      <c r="NL1469" s="1"/>
      <c r="NM1469" s="1"/>
      <c r="NN1469" s="1"/>
      <c r="NO1469" s="1"/>
      <c r="NP1469" s="1"/>
      <c r="NQ1469" s="1"/>
      <c r="NR1469" s="1"/>
      <c r="NS1469" s="1"/>
      <c r="NT1469" s="1"/>
      <c r="NU1469" s="1"/>
      <c r="NV1469" s="1"/>
      <c r="NW1469" s="1"/>
      <c r="NX1469" s="1"/>
      <c r="NY1469" s="1"/>
      <c r="NZ1469" s="1"/>
      <c r="OA1469" s="1"/>
      <c r="OB1469" s="1"/>
      <c r="OC1469" s="1"/>
      <c r="OD1469" s="1"/>
      <c r="OE1469" s="1"/>
      <c r="OF1469" s="1"/>
      <c r="OG1469" s="1"/>
      <c r="OH1469" s="1"/>
      <c r="OI1469" s="1"/>
      <c r="OJ1469" s="1"/>
      <c r="OK1469" s="1"/>
      <c r="OL1469" s="1"/>
      <c r="OM1469" s="1"/>
      <c r="ON1469" s="1"/>
      <c r="OO1469" s="1"/>
      <c r="OP1469" s="1"/>
      <c r="OQ1469" s="1"/>
      <c r="OR1469" s="1"/>
      <c r="OS1469" s="1"/>
      <c r="OT1469" s="1"/>
      <c r="OU1469" s="1"/>
      <c r="OV1469" s="1"/>
      <c r="OW1469" s="1"/>
      <c r="OX1469" s="1"/>
      <c r="OY1469" s="1"/>
      <c r="OZ1469" s="1"/>
      <c r="PA1469" s="1"/>
      <c r="PB1469" s="1"/>
      <c r="PC1469" s="1"/>
      <c r="PD1469" s="1"/>
      <c r="PE1469" s="1"/>
      <c r="PF1469" s="1"/>
      <c r="PG1469" s="1"/>
      <c r="PH1469" s="1"/>
      <c r="PI1469" s="1"/>
      <c r="PJ1469" s="1"/>
      <c r="PK1469" s="1"/>
      <c r="PL1469" s="1"/>
      <c r="PM1469" s="1"/>
      <c r="PN1469" s="1"/>
      <c r="PO1469" s="1"/>
      <c r="PP1469" s="1"/>
      <c r="PQ1469" s="1"/>
      <c r="PR1469" s="1"/>
      <c r="PS1469" s="1"/>
      <c r="PT1469" s="1"/>
      <c r="PU1469" s="1"/>
      <c r="PV1469" s="1"/>
      <c r="PW1469" s="1"/>
      <c r="PX1469" s="1"/>
      <c r="PY1469" s="1"/>
      <c r="PZ1469" s="1"/>
      <c r="QA1469" s="1"/>
      <c r="QB1469" s="1"/>
      <c r="QC1469" s="1"/>
      <c r="QD1469" s="1"/>
      <c r="QE1469" s="1"/>
      <c r="QF1469" s="1"/>
      <c r="QG1469" s="1"/>
      <c r="QH1469" s="1"/>
      <c r="QI1469" s="1"/>
      <c r="QJ1469" s="1"/>
      <c r="QK1469" s="1"/>
      <c r="QL1469" s="1"/>
      <c r="QM1469" s="1"/>
      <c r="QN1469" s="1"/>
      <c r="QO1469" s="1"/>
      <c r="QP1469" s="1"/>
      <c r="QQ1469" s="1"/>
      <c r="QR1469" s="1"/>
      <c r="QS1469" s="1"/>
      <c r="QT1469" s="1"/>
      <c r="QU1469" s="1"/>
      <c r="QV1469" s="1"/>
      <c r="QW1469" s="1"/>
      <c r="QX1469" s="1"/>
      <c r="QY1469" s="1"/>
      <c r="QZ1469" s="1"/>
      <c r="RA1469" s="1"/>
      <c r="RB1469" s="1"/>
      <c r="RC1469" s="1"/>
      <c r="RD1469" s="1"/>
      <c r="RE1469" s="1"/>
      <c r="RF1469" s="1"/>
      <c r="RG1469" s="1"/>
      <c r="RH1469" s="1"/>
      <c r="RI1469" s="1"/>
      <c r="RJ1469" s="1"/>
      <c r="RK1469" s="1"/>
      <c r="RL1469" s="1"/>
      <c r="RM1469" s="1"/>
      <c r="RN1469" s="1"/>
      <c r="RO1469" s="1"/>
      <c r="RP1469" s="1"/>
      <c r="RQ1469" s="1"/>
      <c r="RR1469" s="1"/>
      <c r="RS1469" s="1"/>
      <c r="RT1469" s="1"/>
      <c r="RU1469" s="1"/>
      <c r="RV1469" s="1"/>
      <c r="RW1469" s="1"/>
      <c r="RX1469" s="1"/>
      <c r="RY1469" s="1"/>
      <c r="RZ1469" s="1"/>
      <c r="SA1469" s="1"/>
      <c r="SB1469" s="1"/>
      <c r="SC1469" s="1"/>
      <c r="SD1469" s="1"/>
      <c r="SE1469" s="1"/>
      <c r="SF1469" s="1"/>
      <c r="SG1469" s="1"/>
      <c r="SH1469" s="1"/>
      <c r="SI1469" s="1"/>
      <c r="SJ1469" s="1"/>
      <c r="SK1469" s="1"/>
      <c r="SL1469" s="1"/>
      <c r="SM1469" s="1"/>
      <c r="SN1469" s="1"/>
      <c r="SO1469" s="1"/>
      <c r="SP1469" s="1"/>
      <c r="SQ1469" s="1"/>
      <c r="SR1469" s="1"/>
      <c r="SS1469" s="1"/>
      <c r="ST1469" s="1"/>
      <c r="SU1469" s="1"/>
      <c r="SV1469" s="1"/>
      <c r="SW1469" s="1"/>
      <c r="SX1469" s="1"/>
      <c r="SY1469" s="1"/>
      <c r="SZ1469" s="1"/>
      <c r="TA1469" s="1"/>
      <c r="TB1469" s="1"/>
      <c r="TC1469" s="1"/>
      <c r="TD1469" s="1"/>
      <c r="TE1469" s="1"/>
      <c r="TF1469" s="1"/>
      <c r="TG1469" s="1"/>
      <c r="TH1469" s="1"/>
      <c r="TI1469" s="1"/>
      <c r="TJ1469" s="1"/>
      <c r="TK1469" s="1"/>
      <c r="TL1469" s="1"/>
      <c r="TM1469" s="1"/>
      <c r="TN1469" s="1"/>
      <c r="TO1469" s="1"/>
      <c r="TP1469" s="1"/>
      <c r="TQ1469" s="1"/>
      <c r="TR1469" s="1"/>
      <c r="TS1469" s="1"/>
      <c r="TT1469" s="1"/>
      <c r="TU1469" s="1"/>
      <c r="TV1469" s="1"/>
      <c r="TW1469" s="1"/>
      <c r="TX1469" s="1"/>
      <c r="TY1469" s="1"/>
      <c r="TZ1469" s="1"/>
      <c r="UA1469" s="1"/>
      <c r="UB1469" s="1"/>
      <c r="UC1469" s="1"/>
      <c r="UD1469" s="1"/>
      <c r="UE1469" s="1"/>
      <c r="UF1469" s="1"/>
      <c r="UG1469" s="1"/>
      <c r="UH1469" s="1"/>
      <c r="UI1469" s="1"/>
      <c r="UJ1469" s="1"/>
      <c r="UK1469" s="1"/>
      <c r="UL1469" s="1"/>
      <c r="UM1469" s="1"/>
      <c r="UN1469" s="1"/>
      <c r="UO1469" s="1"/>
      <c r="UP1469" s="1"/>
      <c r="UQ1469" s="1"/>
      <c r="UR1469" s="1"/>
      <c r="US1469" s="1"/>
      <c r="UT1469" s="1"/>
      <c r="UU1469" s="1"/>
      <c r="UV1469" s="1"/>
      <c r="UW1469" s="1"/>
      <c r="UX1469" s="1"/>
      <c r="UY1469" s="1"/>
      <c r="UZ1469" s="1"/>
      <c r="VA1469" s="1"/>
      <c r="VB1469" s="1"/>
      <c r="VC1469" s="1"/>
      <c r="VD1469" s="1"/>
      <c r="VE1469" s="1"/>
      <c r="VF1469" s="1"/>
      <c r="VG1469" s="1"/>
      <c r="VH1469" s="1"/>
      <c r="VI1469" s="1"/>
      <c r="VJ1469" s="1"/>
      <c r="VK1469" s="1"/>
      <c r="VL1469" s="1"/>
      <c r="VM1469" s="1"/>
      <c r="VN1469" s="1"/>
      <c r="VO1469" s="1"/>
      <c r="VP1469" s="1"/>
      <c r="VQ1469" s="1"/>
      <c r="VR1469" s="1"/>
      <c r="VS1469" s="1"/>
      <c r="VT1469" s="1"/>
      <c r="VU1469" s="1"/>
      <c r="VV1469" s="1"/>
      <c r="VW1469" s="1"/>
      <c r="VX1469" s="1"/>
      <c r="VY1469" s="1"/>
      <c r="VZ1469" s="1"/>
      <c r="WA1469" s="1"/>
      <c r="WB1469" s="1"/>
      <c r="WC1469" s="1"/>
      <c r="WD1469" s="1"/>
      <c r="WE1469" s="1"/>
      <c r="WF1469" s="1"/>
      <c r="WG1469" s="1"/>
      <c r="WH1469" s="1"/>
      <c r="WI1469" s="1"/>
      <c r="WJ1469" s="1"/>
      <c r="WK1469" s="1"/>
      <c r="WL1469" s="1"/>
      <c r="WM1469" s="1"/>
      <c r="WN1469" s="1"/>
      <c r="WO1469" s="1"/>
      <c r="WP1469" s="1"/>
      <c r="WQ1469" s="1"/>
      <c r="WR1469" s="1"/>
      <c r="WS1469" s="1"/>
      <c r="WT1469" s="1"/>
      <c r="WU1469" s="1"/>
      <c r="WV1469" s="1"/>
      <c r="WW1469" s="1"/>
      <c r="WX1469" s="1"/>
      <c r="WY1469" s="1"/>
      <c r="WZ1469" s="1"/>
      <c r="XA1469" s="1"/>
      <c r="XB1469" s="1"/>
      <c r="XC1469" s="1"/>
      <c r="XD1469" s="1"/>
      <c r="XE1469" s="1"/>
      <c r="XF1469" s="1"/>
      <c r="XG1469" s="1"/>
      <c r="XH1469" s="1"/>
      <c r="XI1469" s="1"/>
      <c r="XJ1469" s="1"/>
      <c r="XK1469" s="1"/>
      <c r="XL1469" s="1"/>
      <c r="XM1469" s="1"/>
      <c r="XN1469" s="1"/>
      <c r="XO1469" s="1"/>
      <c r="XP1469" s="1"/>
      <c r="XQ1469" s="1"/>
      <c r="XR1469" s="1"/>
      <c r="XS1469" s="1"/>
      <c r="XT1469" s="1"/>
      <c r="XU1469" s="1"/>
      <c r="XV1469" s="1"/>
      <c r="XW1469" s="1"/>
      <c r="XX1469" s="1"/>
      <c r="XY1469" s="1"/>
      <c r="XZ1469" s="1"/>
      <c r="YA1469" s="1"/>
      <c r="YB1469" s="1"/>
      <c r="YC1469" s="1"/>
      <c r="YD1469" s="1"/>
      <c r="YE1469" s="1"/>
      <c r="YF1469" s="1"/>
      <c r="YG1469" s="1"/>
      <c r="YH1469" s="1"/>
      <c r="YI1469" s="1"/>
      <c r="YJ1469" s="1"/>
      <c r="YK1469" s="1"/>
      <c r="YL1469" s="1"/>
      <c r="YM1469" s="1"/>
      <c r="YN1469" s="1"/>
      <c r="YO1469" s="1"/>
      <c r="YP1469" s="1"/>
      <c r="YQ1469" s="1"/>
      <c r="YR1469" s="1"/>
      <c r="YS1469" s="1"/>
      <c r="YT1469" s="1"/>
      <c r="YU1469" s="1"/>
      <c r="YV1469" s="1"/>
      <c r="YW1469" s="1"/>
      <c r="YX1469" s="1"/>
      <c r="YY1469" s="1"/>
      <c r="YZ1469" s="1"/>
      <c r="ZA1469" s="1"/>
      <c r="ZB1469" s="1"/>
      <c r="ZC1469" s="1"/>
      <c r="ZD1469" s="1"/>
      <c r="ZE1469" s="1"/>
      <c r="ZF1469" s="1"/>
      <c r="ZG1469" s="1"/>
      <c r="ZH1469" s="1"/>
      <c r="ZI1469" s="1"/>
      <c r="ZJ1469" s="1"/>
      <c r="ZK1469" s="1"/>
      <c r="ZL1469" s="1"/>
      <c r="ZM1469" s="1"/>
      <c r="ZN1469" s="1"/>
      <c r="ZO1469" s="1"/>
      <c r="ZP1469" s="1"/>
      <c r="ZQ1469" s="1"/>
      <c r="ZR1469" s="1"/>
      <c r="ZS1469" s="1"/>
      <c r="ZT1469" s="1"/>
      <c r="ZU1469" s="1"/>
      <c r="ZV1469" s="1"/>
      <c r="ZW1469" s="1"/>
      <c r="ZX1469" s="1"/>
      <c r="ZY1469" s="1"/>
      <c r="ZZ1469" s="1"/>
      <c r="AAA1469" s="1"/>
      <c r="AAB1469" s="1"/>
      <c r="AAC1469" s="1"/>
      <c r="AAD1469" s="1"/>
      <c r="AAE1469" s="1"/>
      <c r="AAF1469" s="1"/>
      <c r="AAG1469" s="1"/>
      <c r="AAH1469" s="1"/>
      <c r="AAI1469" s="1"/>
      <c r="AAJ1469" s="1"/>
      <c r="AAK1469" s="1"/>
      <c r="AAL1469" s="1"/>
      <c r="AAM1469" s="1"/>
      <c r="AAN1469" s="1"/>
      <c r="AAO1469" s="1"/>
      <c r="AAP1469" s="1"/>
      <c r="AAQ1469" s="1"/>
      <c r="AAR1469" s="1"/>
      <c r="AAS1469" s="1"/>
      <c r="AAT1469" s="1"/>
      <c r="AAU1469" s="1"/>
      <c r="AAV1469" s="1"/>
      <c r="AAW1469" s="1"/>
      <c r="AAX1469" s="1"/>
      <c r="AAY1469" s="1"/>
      <c r="AAZ1469" s="1"/>
      <c r="ABA1469" s="1"/>
      <c r="ABB1469" s="1"/>
      <c r="ABC1469" s="1"/>
      <c r="ABD1469" s="1"/>
      <c r="ABE1469" s="1"/>
      <c r="ABF1469" s="1"/>
      <c r="ABG1469" s="1"/>
      <c r="ABH1469" s="1"/>
      <c r="ABI1469" s="1"/>
      <c r="ABJ1469" s="1"/>
      <c r="ABK1469" s="1"/>
      <c r="ABL1469" s="1"/>
      <c r="ABM1469" s="1"/>
      <c r="ABN1469" s="1"/>
      <c r="ABO1469" s="1"/>
      <c r="ABP1469" s="1"/>
      <c r="ABQ1469" s="1"/>
      <c r="ABR1469" s="1"/>
      <c r="ABS1469" s="1"/>
      <c r="ABT1469" s="1"/>
      <c r="ABU1469" s="1"/>
      <c r="ABV1469" s="1"/>
      <c r="ABW1469" s="1"/>
      <c r="ABX1469" s="1"/>
      <c r="ABY1469" s="1"/>
      <c r="ABZ1469" s="1"/>
      <c r="ACA1469" s="1"/>
      <c r="ACB1469" s="1"/>
      <c r="ACC1469" s="1"/>
      <c r="ACD1469" s="1"/>
      <c r="ACE1469" s="1"/>
      <c r="ACF1469" s="1"/>
      <c r="ACG1469" s="1"/>
      <c r="ACH1469" s="1"/>
      <c r="ACI1469" s="1"/>
      <c r="ACJ1469" s="1"/>
      <c r="ACK1469" s="1"/>
      <c r="ACL1469" s="1"/>
      <c r="ACM1469" s="1"/>
      <c r="ACN1469" s="1"/>
      <c r="ACO1469" s="1"/>
      <c r="ACP1469" s="1"/>
      <c r="ACQ1469" s="1"/>
      <c r="ACR1469" s="1"/>
      <c r="ACS1469" s="1"/>
      <c r="ACT1469" s="1"/>
      <c r="ACU1469" s="1"/>
      <c r="ACV1469" s="1"/>
      <c r="ACW1469" s="1"/>
      <c r="ACX1469" s="1"/>
      <c r="ACY1469" s="1"/>
      <c r="ACZ1469" s="1"/>
      <c r="ADA1469" s="1"/>
      <c r="ADB1469" s="1"/>
      <c r="ADC1469" s="1"/>
      <c r="ADD1469" s="1"/>
      <c r="ADE1469" s="1"/>
      <c r="ADF1469" s="1"/>
      <c r="ADG1469" s="1"/>
      <c r="ADH1469" s="1"/>
      <c r="ADI1469" s="1"/>
      <c r="ADJ1469" s="1"/>
      <c r="ADK1469" s="1"/>
      <c r="ADL1469" s="1"/>
      <c r="ADM1469" s="1"/>
      <c r="ADN1469" s="1"/>
      <c r="ADO1469" s="1"/>
      <c r="ADP1469" s="1"/>
      <c r="ADQ1469" s="1"/>
      <c r="ADR1469" s="1"/>
      <c r="ADS1469" s="1"/>
      <c r="ADT1469" s="1"/>
      <c r="ADU1469" s="1"/>
      <c r="ADV1469" s="1"/>
      <c r="ADW1469" s="1"/>
      <c r="ADX1469" s="1"/>
      <c r="ADY1469" s="1"/>
      <c r="ADZ1469" s="1"/>
      <c r="AEA1469" s="1"/>
      <c r="AEB1469" s="1"/>
      <c r="AEC1469" s="1"/>
      <c r="AED1469" s="1"/>
      <c r="AEE1469" s="1"/>
      <c r="AEF1469" s="1"/>
      <c r="AEG1469" s="1"/>
      <c r="AEH1469" s="1"/>
      <c r="AEI1469" s="1"/>
      <c r="AEJ1469" s="1"/>
      <c r="AEK1469" s="1"/>
      <c r="AEL1469" s="1"/>
      <c r="AEM1469" s="1"/>
      <c r="AEN1469" s="1"/>
      <c r="AEO1469" s="1"/>
      <c r="AEP1469" s="1"/>
      <c r="AEQ1469" s="1"/>
      <c r="AER1469" s="1"/>
      <c r="AES1469" s="1"/>
      <c r="AET1469" s="1"/>
      <c r="AEU1469" s="1"/>
      <c r="AEV1469" s="1"/>
      <c r="AEW1469" s="1"/>
      <c r="AEX1469" s="1"/>
      <c r="AEY1469" s="1"/>
      <c r="AEZ1469" s="1"/>
      <c r="AFA1469" s="1"/>
      <c r="AFB1469" s="1"/>
      <c r="AFC1469" s="1"/>
      <c r="AFD1469" s="1"/>
      <c r="AFE1469" s="1"/>
      <c r="AFF1469" s="1"/>
      <c r="AFG1469" s="1"/>
      <c r="AFH1469" s="1"/>
      <c r="AFI1469" s="1"/>
      <c r="AFJ1469" s="1"/>
      <c r="AFK1469" s="1"/>
      <c r="AFL1469" s="1"/>
      <c r="AFM1469" s="1"/>
      <c r="AFN1469" s="1"/>
      <c r="AFO1469" s="1"/>
      <c r="AFP1469" s="1"/>
      <c r="AFQ1469" s="1"/>
      <c r="AFR1469" s="1"/>
      <c r="AFS1469" s="1"/>
      <c r="AFT1469" s="1"/>
      <c r="AFU1469" s="1"/>
      <c r="AFV1469" s="1"/>
      <c r="AFW1469" s="1"/>
      <c r="AFX1469" s="1"/>
      <c r="AFY1469" s="1"/>
      <c r="AFZ1469" s="1"/>
      <c r="AGA1469" s="1"/>
      <c r="AGB1469" s="1"/>
      <c r="AGC1469" s="1"/>
      <c r="AGD1469" s="1"/>
      <c r="AGE1469" s="1"/>
      <c r="AGF1469" s="1"/>
      <c r="AGG1469" s="1"/>
      <c r="AGH1469" s="1"/>
      <c r="AGI1469" s="1"/>
      <c r="AGJ1469" s="1"/>
      <c r="AGK1469" s="1"/>
      <c r="AGL1469" s="1"/>
      <c r="AGM1469" s="1"/>
      <c r="AGN1469" s="1"/>
      <c r="AGO1469" s="1"/>
      <c r="AGP1469" s="1"/>
      <c r="AGQ1469" s="1"/>
      <c r="AGR1469" s="1"/>
      <c r="AGS1469" s="1"/>
      <c r="AGT1469" s="1"/>
      <c r="AGU1469" s="1"/>
      <c r="AGV1469" s="1"/>
      <c r="AGW1469" s="1"/>
      <c r="AGX1469" s="1"/>
      <c r="AGY1469" s="1"/>
      <c r="AGZ1469" s="1"/>
      <c r="AHA1469" s="1"/>
      <c r="AHB1469" s="1"/>
      <c r="AHC1469" s="1"/>
      <c r="AHD1469" s="1"/>
      <c r="AHE1469" s="1"/>
      <c r="AHF1469" s="1"/>
      <c r="AHG1469" s="1"/>
      <c r="AHH1469" s="1"/>
      <c r="AHI1469" s="1"/>
      <c r="AHJ1469" s="1"/>
      <c r="AHK1469" s="1"/>
      <c r="AHL1469" s="1"/>
      <c r="AHM1469" s="1"/>
      <c r="AHN1469" s="1"/>
      <c r="AHO1469" s="1"/>
      <c r="AHP1469" s="1"/>
      <c r="AHQ1469" s="1"/>
      <c r="AHR1469" s="1"/>
      <c r="AHS1469" s="1"/>
      <c r="AHT1469" s="1"/>
      <c r="AHU1469" s="1"/>
      <c r="AHV1469" s="1"/>
      <c r="AHW1469" s="1"/>
      <c r="AHX1469" s="1"/>
      <c r="AHY1469" s="1"/>
      <c r="AHZ1469" s="1"/>
      <c r="AIA1469" s="1"/>
      <c r="AIB1469" s="1"/>
      <c r="AIC1469" s="1"/>
      <c r="AID1469" s="1"/>
      <c r="AIE1469" s="1"/>
      <c r="AIF1469" s="1"/>
      <c r="AIG1469" s="1"/>
      <c r="AIH1469" s="1"/>
      <c r="AII1469" s="1"/>
      <c r="AIJ1469" s="1"/>
      <c r="AIK1469" s="1"/>
      <c r="AIL1469" s="1"/>
      <c r="AIM1469" s="1"/>
      <c r="AIN1469" s="1"/>
      <c r="AIO1469" s="1"/>
      <c r="AIP1469" s="1"/>
      <c r="AIQ1469" s="1"/>
      <c r="AIR1469" s="1"/>
      <c r="AIS1469" s="1"/>
      <c r="AIT1469" s="1"/>
      <c r="AIU1469" s="1"/>
      <c r="AIV1469" s="1"/>
      <c r="AIW1469" s="1"/>
      <c r="AIX1469" s="1"/>
      <c r="AIY1469" s="1"/>
      <c r="AIZ1469" s="1"/>
      <c r="AJA1469" s="1"/>
      <c r="AJB1469" s="1"/>
      <c r="AJC1469" s="1"/>
      <c r="AJD1469" s="1"/>
      <c r="AJE1469" s="1"/>
      <c r="AJF1469" s="1"/>
      <c r="AJG1469" s="1"/>
      <c r="AJH1469" s="1"/>
      <c r="AJI1469" s="1"/>
      <c r="AJJ1469" s="1"/>
      <c r="AJK1469" s="1"/>
      <c r="AJL1469" s="1"/>
      <c r="AJM1469" s="1"/>
      <c r="AJN1469" s="1"/>
      <c r="AJO1469" s="1"/>
      <c r="AJP1469" s="1"/>
      <c r="AJQ1469" s="1"/>
      <c r="AJR1469" s="1"/>
      <c r="AJS1469" s="1"/>
      <c r="AJT1469" s="1"/>
      <c r="AJU1469" s="1"/>
      <c r="AJV1469" s="1"/>
      <c r="AJW1469" s="1"/>
      <c r="AJX1469" s="1"/>
      <c r="AJY1469" s="1"/>
      <c r="AJZ1469" s="1"/>
      <c r="AKA1469" s="1"/>
      <c r="AKB1469" s="1"/>
      <c r="AKC1469" s="1"/>
      <c r="AKD1469" s="1"/>
      <c r="AKE1469" s="1"/>
      <c r="AKF1469" s="1"/>
      <c r="AKG1469" s="1"/>
      <c r="AKH1469" s="1"/>
      <c r="AKI1469" s="1"/>
      <c r="AKJ1469" s="1"/>
      <c r="AKK1469" s="1"/>
      <c r="AKL1469" s="1"/>
      <c r="AKM1469" s="1"/>
      <c r="AKN1469" s="1"/>
      <c r="AKO1469" s="1"/>
      <c r="AKP1469" s="1"/>
      <c r="AKQ1469" s="1"/>
      <c r="AKR1469" s="1"/>
      <c r="AKS1469" s="1"/>
      <c r="AKT1469" s="1"/>
      <c r="AKU1469" s="1"/>
      <c r="AKV1469" s="1"/>
      <c r="AKW1469" s="1"/>
      <c r="AKX1469" s="1"/>
      <c r="AKY1469" s="1"/>
      <c r="AKZ1469" s="1"/>
      <c r="ALA1469" s="1"/>
      <c r="ALB1469" s="1"/>
      <c r="ALC1469" s="1"/>
      <c r="ALD1469" s="1"/>
      <c r="ALE1469" s="1"/>
      <c r="ALF1469" s="1"/>
      <c r="ALG1469" s="1"/>
      <c r="ALH1469" s="1"/>
      <c r="ALI1469" s="1"/>
      <c r="ALJ1469" s="1"/>
      <c r="ALK1469" s="1"/>
      <c r="ALL1469" s="1"/>
      <c r="ALM1469" s="1"/>
      <c r="ALN1469" s="1"/>
      <c r="ALO1469" s="1"/>
      <c r="ALP1469" s="1"/>
      <c r="ALQ1469" s="1"/>
      <c r="ALR1469" s="1"/>
      <c r="ALS1469" s="1"/>
      <c r="ALT1469" s="1"/>
      <c r="ALU1469" s="1"/>
      <c r="ALV1469" s="1"/>
      <c r="ALW1469" s="1"/>
      <c r="ALX1469" s="1"/>
      <c r="ALY1469" s="1"/>
      <c r="ALZ1469" s="1"/>
      <c r="AMA1469" s="1"/>
      <c r="AMB1469" s="1"/>
      <c r="AMC1469" s="1"/>
      <c r="AMD1469" s="1"/>
      <c r="AME1469" s="1"/>
      <c r="AMF1469" s="1"/>
      <c r="AMG1469" s="1"/>
      <c r="AMH1469" s="1"/>
      <c r="AMI1469" s="1"/>
      <c r="AMJ1469" s="1"/>
      <c r="AMK1469" s="1"/>
    </row>
    <row r="1470" spans="1:1025" s="2" customFormat="1" ht="133.15" hidden="1" customHeight="1" x14ac:dyDescent="0.25">
      <c r="A1470" s="201"/>
      <c r="B1470" s="202"/>
      <c r="C1470" s="202"/>
      <c r="D1470" s="202"/>
      <c r="E1470" s="202"/>
      <c r="F1470" s="202"/>
      <c r="G1470" s="202"/>
      <c r="H1470" s="202"/>
      <c r="I1470" s="203"/>
      <c r="J1470" s="226" t="s">
        <v>996</v>
      </c>
      <c r="K1470" s="227">
        <f t="shared" si="26"/>
        <v>15</v>
      </c>
      <c r="L1470" s="228" t="s">
        <v>3</v>
      </c>
      <c r="M1470" s="908">
        <f t="shared" si="27"/>
        <v>16.399999999999999</v>
      </c>
      <c r="N1470" s="194"/>
      <c r="O1470" s="55"/>
      <c r="P1470" s="226" t="s">
        <v>996</v>
      </c>
      <c r="Q1470" s="227">
        <f t="shared" si="28"/>
        <v>10000</v>
      </c>
      <c r="R1470" s="228" t="s">
        <v>3</v>
      </c>
      <c r="S1470" s="229">
        <f t="shared" si="29"/>
        <v>27.4</v>
      </c>
      <c r="T1470" s="194"/>
      <c r="U1470" s="228"/>
      <c r="V1470" s="226" t="s">
        <v>996</v>
      </c>
      <c r="W1470" s="227">
        <f t="shared" si="30"/>
        <v>0</v>
      </c>
      <c r="X1470" s="228" t="s">
        <v>3</v>
      </c>
      <c r="Y1470" s="229">
        <f t="shared" si="31"/>
        <v>0</v>
      </c>
      <c r="Z1470" s="194"/>
      <c r="AA1470" s="55"/>
      <c r="AB1470" s="226" t="s">
        <v>996</v>
      </c>
      <c r="AC1470" s="227">
        <f t="shared" si="32"/>
        <v>0</v>
      </c>
      <c r="AD1470" s="228" t="s">
        <v>3</v>
      </c>
      <c r="AE1470" s="229">
        <f t="shared" si="33"/>
        <v>0</v>
      </c>
      <c r="AF1470" s="194"/>
      <c r="AG1470" s="55"/>
      <c r="AH1470" s="226" t="s">
        <v>996</v>
      </c>
      <c r="AI1470" s="227">
        <f t="shared" si="34"/>
        <v>0</v>
      </c>
      <c r="AJ1470" s="228" t="s">
        <v>3</v>
      </c>
      <c r="AK1470" s="229">
        <f t="shared" si="35"/>
        <v>0</v>
      </c>
      <c r="AL1470" s="194"/>
      <c r="AM1470" s="55"/>
      <c r="AN1470" s="226" t="s">
        <v>996</v>
      </c>
      <c r="AO1470" s="227">
        <f t="shared" si="36"/>
        <v>0</v>
      </c>
      <c r="AP1470" s="228" t="s">
        <v>3</v>
      </c>
      <c r="AQ1470" s="229">
        <f t="shared" si="37"/>
        <v>0</v>
      </c>
      <c r="AR1470" s="1170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  <c r="EA1470" s="1"/>
      <c r="EB1470" s="1"/>
      <c r="EC1470" s="1"/>
      <c r="ED1470" s="1"/>
      <c r="EE1470" s="1"/>
      <c r="EF1470" s="1"/>
      <c r="EG1470" s="1"/>
      <c r="EH1470" s="1"/>
      <c r="EI1470" s="1"/>
      <c r="EJ1470" s="1"/>
      <c r="EK1470" s="1"/>
      <c r="EL1470" s="1"/>
      <c r="EM1470" s="1"/>
      <c r="EN1470" s="1"/>
      <c r="EO1470" s="1"/>
      <c r="EP1470" s="1"/>
      <c r="EQ1470" s="1"/>
      <c r="ER1470" s="1"/>
      <c r="ES1470" s="1"/>
      <c r="ET1470" s="1"/>
      <c r="EU1470" s="1"/>
      <c r="EV1470" s="1"/>
      <c r="EW1470" s="1"/>
      <c r="EX1470" s="1"/>
      <c r="EY1470" s="1"/>
      <c r="EZ1470" s="1"/>
      <c r="FA1470" s="1"/>
      <c r="FB1470" s="1"/>
      <c r="FC1470" s="1"/>
      <c r="FD1470" s="1"/>
      <c r="FE1470" s="1"/>
      <c r="FF1470" s="1"/>
      <c r="FG1470" s="1"/>
      <c r="FH1470" s="1"/>
      <c r="FI1470" s="1"/>
      <c r="FJ1470" s="1"/>
      <c r="FK1470" s="1"/>
      <c r="FL1470" s="1"/>
      <c r="FM1470" s="1"/>
      <c r="FN1470" s="1"/>
      <c r="FO1470" s="1"/>
      <c r="FP1470" s="1"/>
      <c r="FQ1470" s="1"/>
      <c r="FR1470" s="1"/>
      <c r="FS1470" s="1"/>
      <c r="FT1470" s="1"/>
      <c r="FU1470" s="1"/>
      <c r="FV1470" s="1"/>
      <c r="FW1470" s="1"/>
      <c r="FX1470" s="1"/>
      <c r="FY1470" s="1"/>
      <c r="FZ1470" s="1"/>
      <c r="GA1470" s="1"/>
      <c r="GB1470" s="1"/>
      <c r="GC1470" s="1"/>
      <c r="GD1470" s="1"/>
      <c r="GE1470" s="1"/>
      <c r="GF1470" s="1"/>
      <c r="GG1470" s="1"/>
      <c r="GH1470" s="1"/>
      <c r="GI1470" s="1"/>
      <c r="GJ1470" s="1"/>
      <c r="GK1470" s="1"/>
      <c r="GL1470" s="1"/>
      <c r="GM1470" s="1"/>
      <c r="GN1470" s="1"/>
      <c r="GO1470" s="1"/>
      <c r="GP1470" s="1"/>
      <c r="GQ1470" s="1"/>
      <c r="GR1470" s="1"/>
      <c r="GS1470" s="1"/>
      <c r="GT1470" s="1"/>
      <c r="GU1470" s="1"/>
      <c r="GV1470" s="1"/>
      <c r="GW1470" s="1"/>
      <c r="GX1470" s="1"/>
      <c r="GY1470" s="1"/>
      <c r="GZ1470" s="1"/>
      <c r="HA1470" s="1"/>
      <c r="HB1470" s="1"/>
      <c r="HC1470" s="1"/>
      <c r="HD1470" s="1"/>
      <c r="HE1470" s="1"/>
      <c r="HF1470" s="1"/>
      <c r="HG1470" s="1"/>
      <c r="HH1470" s="1"/>
      <c r="HI1470" s="1"/>
      <c r="HJ1470" s="1"/>
      <c r="HK1470" s="1"/>
      <c r="HL1470" s="1"/>
      <c r="HM1470" s="1"/>
      <c r="HN1470" s="1"/>
      <c r="HO1470" s="1"/>
      <c r="HP1470" s="1"/>
      <c r="HQ1470" s="1"/>
      <c r="HR1470" s="1"/>
      <c r="HS1470" s="1"/>
      <c r="HT1470" s="1"/>
      <c r="HU1470" s="1"/>
      <c r="HV1470" s="1"/>
      <c r="HW1470" s="1"/>
      <c r="HX1470" s="1"/>
      <c r="HY1470" s="1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  <c r="IU1470" s="1"/>
      <c r="IV1470" s="1"/>
      <c r="IW1470" s="1"/>
      <c r="IX1470" s="1"/>
      <c r="IY1470" s="1"/>
      <c r="IZ1470" s="1"/>
      <c r="JA1470" s="1"/>
      <c r="JB1470" s="1"/>
      <c r="JC1470" s="1"/>
      <c r="JD1470" s="1"/>
      <c r="JE1470" s="1"/>
      <c r="JF1470" s="1"/>
      <c r="JG1470" s="1"/>
      <c r="JH1470" s="1"/>
      <c r="JI1470" s="1"/>
      <c r="JJ1470" s="1"/>
      <c r="JK1470" s="1"/>
      <c r="JL1470" s="1"/>
      <c r="JM1470" s="1"/>
      <c r="JN1470" s="1"/>
      <c r="JO1470" s="1"/>
      <c r="JP1470" s="1"/>
      <c r="JQ1470" s="1"/>
      <c r="JR1470" s="1"/>
      <c r="JS1470" s="1"/>
      <c r="JT1470" s="1"/>
      <c r="JU1470" s="1"/>
      <c r="JV1470" s="1"/>
      <c r="JW1470" s="1"/>
      <c r="JX1470" s="1"/>
      <c r="JY1470" s="1"/>
      <c r="JZ1470" s="1"/>
      <c r="KA1470" s="1"/>
      <c r="KB1470" s="1"/>
      <c r="KC1470" s="1"/>
      <c r="KD1470" s="1"/>
      <c r="KE1470" s="1"/>
      <c r="KF1470" s="1"/>
      <c r="KG1470" s="1"/>
      <c r="KH1470" s="1"/>
      <c r="KI1470" s="1"/>
      <c r="KJ1470" s="1"/>
      <c r="KK1470" s="1"/>
      <c r="KL1470" s="1"/>
      <c r="KM1470" s="1"/>
      <c r="KN1470" s="1"/>
      <c r="KO1470" s="1"/>
      <c r="KP1470" s="1"/>
      <c r="KQ1470" s="1"/>
      <c r="KR1470" s="1"/>
      <c r="KS1470" s="1"/>
      <c r="KT1470" s="1"/>
      <c r="KU1470" s="1"/>
      <c r="KV1470" s="1"/>
      <c r="KW1470" s="1"/>
      <c r="KX1470" s="1"/>
      <c r="KY1470" s="1"/>
      <c r="KZ1470" s="1"/>
      <c r="LA1470" s="1"/>
      <c r="LB1470" s="1"/>
      <c r="LC1470" s="1"/>
      <c r="LD1470" s="1"/>
      <c r="LE1470" s="1"/>
      <c r="LF1470" s="1"/>
      <c r="LG1470" s="1"/>
      <c r="LH1470" s="1"/>
      <c r="LI1470" s="1"/>
      <c r="LJ1470" s="1"/>
      <c r="LK1470" s="1"/>
      <c r="LL1470" s="1"/>
      <c r="LM1470" s="1"/>
      <c r="LN1470" s="1"/>
      <c r="LO1470" s="1"/>
      <c r="LP1470" s="1"/>
      <c r="LQ1470" s="1"/>
      <c r="LR1470" s="1"/>
      <c r="LS1470" s="1"/>
      <c r="LT1470" s="1"/>
      <c r="LU1470" s="1"/>
      <c r="LV1470" s="1"/>
      <c r="LW1470" s="1"/>
      <c r="LX1470" s="1"/>
      <c r="LY1470" s="1"/>
      <c r="LZ1470" s="1"/>
      <c r="MA1470" s="1"/>
      <c r="MB1470" s="1"/>
      <c r="MC1470" s="1"/>
      <c r="MD1470" s="1"/>
      <c r="ME1470" s="1"/>
      <c r="MF1470" s="1"/>
      <c r="MG1470" s="1"/>
      <c r="MH1470" s="1"/>
      <c r="MI1470" s="1"/>
      <c r="MJ1470" s="1"/>
      <c r="MK1470" s="1"/>
      <c r="ML1470" s="1"/>
      <c r="MM1470" s="1"/>
      <c r="MN1470" s="1"/>
      <c r="MO1470" s="1"/>
      <c r="MP1470" s="1"/>
      <c r="MQ1470" s="1"/>
      <c r="MR1470" s="1"/>
      <c r="MS1470" s="1"/>
      <c r="MT1470" s="1"/>
      <c r="MU1470" s="1"/>
      <c r="MV1470" s="1"/>
      <c r="MW1470" s="1"/>
      <c r="MX1470" s="1"/>
      <c r="MY1470" s="1"/>
      <c r="MZ1470" s="1"/>
      <c r="NA1470" s="1"/>
      <c r="NB1470" s="1"/>
      <c r="NC1470" s="1"/>
      <c r="ND1470" s="1"/>
      <c r="NE1470" s="1"/>
      <c r="NF1470" s="1"/>
      <c r="NG1470" s="1"/>
      <c r="NH1470" s="1"/>
      <c r="NI1470" s="1"/>
      <c r="NJ1470" s="1"/>
      <c r="NK1470" s="1"/>
      <c r="NL1470" s="1"/>
      <c r="NM1470" s="1"/>
      <c r="NN1470" s="1"/>
      <c r="NO1470" s="1"/>
      <c r="NP1470" s="1"/>
      <c r="NQ1470" s="1"/>
      <c r="NR1470" s="1"/>
      <c r="NS1470" s="1"/>
      <c r="NT1470" s="1"/>
      <c r="NU1470" s="1"/>
      <c r="NV1470" s="1"/>
      <c r="NW1470" s="1"/>
      <c r="NX1470" s="1"/>
      <c r="NY1470" s="1"/>
      <c r="NZ1470" s="1"/>
      <c r="OA1470" s="1"/>
      <c r="OB1470" s="1"/>
      <c r="OC1470" s="1"/>
      <c r="OD1470" s="1"/>
      <c r="OE1470" s="1"/>
      <c r="OF1470" s="1"/>
      <c r="OG1470" s="1"/>
      <c r="OH1470" s="1"/>
      <c r="OI1470" s="1"/>
      <c r="OJ1470" s="1"/>
      <c r="OK1470" s="1"/>
      <c r="OL1470" s="1"/>
      <c r="OM1470" s="1"/>
      <c r="ON1470" s="1"/>
      <c r="OO1470" s="1"/>
      <c r="OP1470" s="1"/>
      <c r="OQ1470" s="1"/>
      <c r="OR1470" s="1"/>
      <c r="OS1470" s="1"/>
      <c r="OT1470" s="1"/>
      <c r="OU1470" s="1"/>
      <c r="OV1470" s="1"/>
      <c r="OW1470" s="1"/>
      <c r="OX1470" s="1"/>
      <c r="OY1470" s="1"/>
      <c r="OZ1470" s="1"/>
      <c r="PA1470" s="1"/>
      <c r="PB1470" s="1"/>
      <c r="PC1470" s="1"/>
      <c r="PD1470" s="1"/>
      <c r="PE1470" s="1"/>
      <c r="PF1470" s="1"/>
      <c r="PG1470" s="1"/>
      <c r="PH1470" s="1"/>
      <c r="PI1470" s="1"/>
      <c r="PJ1470" s="1"/>
      <c r="PK1470" s="1"/>
      <c r="PL1470" s="1"/>
      <c r="PM1470" s="1"/>
      <c r="PN1470" s="1"/>
      <c r="PO1470" s="1"/>
      <c r="PP1470" s="1"/>
      <c r="PQ1470" s="1"/>
      <c r="PR1470" s="1"/>
      <c r="PS1470" s="1"/>
      <c r="PT1470" s="1"/>
      <c r="PU1470" s="1"/>
      <c r="PV1470" s="1"/>
      <c r="PW1470" s="1"/>
      <c r="PX1470" s="1"/>
      <c r="PY1470" s="1"/>
      <c r="PZ1470" s="1"/>
      <c r="QA1470" s="1"/>
      <c r="QB1470" s="1"/>
      <c r="QC1470" s="1"/>
      <c r="QD1470" s="1"/>
      <c r="QE1470" s="1"/>
      <c r="QF1470" s="1"/>
      <c r="QG1470" s="1"/>
      <c r="QH1470" s="1"/>
      <c r="QI1470" s="1"/>
      <c r="QJ1470" s="1"/>
      <c r="QK1470" s="1"/>
      <c r="QL1470" s="1"/>
      <c r="QM1470" s="1"/>
      <c r="QN1470" s="1"/>
      <c r="QO1470" s="1"/>
      <c r="QP1470" s="1"/>
      <c r="QQ1470" s="1"/>
      <c r="QR1470" s="1"/>
      <c r="QS1470" s="1"/>
      <c r="QT1470" s="1"/>
      <c r="QU1470" s="1"/>
      <c r="QV1470" s="1"/>
      <c r="QW1470" s="1"/>
      <c r="QX1470" s="1"/>
      <c r="QY1470" s="1"/>
      <c r="QZ1470" s="1"/>
      <c r="RA1470" s="1"/>
      <c r="RB1470" s="1"/>
      <c r="RC1470" s="1"/>
      <c r="RD1470" s="1"/>
      <c r="RE1470" s="1"/>
      <c r="RF1470" s="1"/>
      <c r="RG1470" s="1"/>
      <c r="RH1470" s="1"/>
      <c r="RI1470" s="1"/>
      <c r="RJ1470" s="1"/>
      <c r="RK1470" s="1"/>
      <c r="RL1470" s="1"/>
      <c r="RM1470" s="1"/>
      <c r="RN1470" s="1"/>
      <c r="RO1470" s="1"/>
      <c r="RP1470" s="1"/>
      <c r="RQ1470" s="1"/>
      <c r="RR1470" s="1"/>
      <c r="RS1470" s="1"/>
      <c r="RT1470" s="1"/>
      <c r="RU1470" s="1"/>
      <c r="RV1470" s="1"/>
      <c r="RW1470" s="1"/>
      <c r="RX1470" s="1"/>
      <c r="RY1470" s="1"/>
      <c r="RZ1470" s="1"/>
      <c r="SA1470" s="1"/>
      <c r="SB1470" s="1"/>
      <c r="SC1470" s="1"/>
      <c r="SD1470" s="1"/>
      <c r="SE1470" s="1"/>
      <c r="SF1470" s="1"/>
      <c r="SG1470" s="1"/>
      <c r="SH1470" s="1"/>
      <c r="SI1470" s="1"/>
      <c r="SJ1470" s="1"/>
      <c r="SK1470" s="1"/>
      <c r="SL1470" s="1"/>
      <c r="SM1470" s="1"/>
      <c r="SN1470" s="1"/>
      <c r="SO1470" s="1"/>
      <c r="SP1470" s="1"/>
      <c r="SQ1470" s="1"/>
      <c r="SR1470" s="1"/>
      <c r="SS1470" s="1"/>
      <c r="ST1470" s="1"/>
      <c r="SU1470" s="1"/>
      <c r="SV1470" s="1"/>
      <c r="SW1470" s="1"/>
      <c r="SX1470" s="1"/>
      <c r="SY1470" s="1"/>
      <c r="SZ1470" s="1"/>
      <c r="TA1470" s="1"/>
      <c r="TB1470" s="1"/>
      <c r="TC1470" s="1"/>
      <c r="TD1470" s="1"/>
      <c r="TE1470" s="1"/>
      <c r="TF1470" s="1"/>
      <c r="TG1470" s="1"/>
      <c r="TH1470" s="1"/>
      <c r="TI1470" s="1"/>
      <c r="TJ1470" s="1"/>
      <c r="TK1470" s="1"/>
      <c r="TL1470" s="1"/>
      <c r="TM1470" s="1"/>
      <c r="TN1470" s="1"/>
      <c r="TO1470" s="1"/>
      <c r="TP1470" s="1"/>
      <c r="TQ1470" s="1"/>
      <c r="TR1470" s="1"/>
      <c r="TS1470" s="1"/>
      <c r="TT1470" s="1"/>
      <c r="TU1470" s="1"/>
      <c r="TV1470" s="1"/>
      <c r="TW1470" s="1"/>
      <c r="TX1470" s="1"/>
      <c r="TY1470" s="1"/>
      <c r="TZ1470" s="1"/>
      <c r="UA1470" s="1"/>
      <c r="UB1470" s="1"/>
      <c r="UC1470" s="1"/>
      <c r="UD1470" s="1"/>
      <c r="UE1470" s="1"/>
      <c r="UF1470" s="1"/>
      <c r="UG1470" s="1"/>
      <c r="UH1470" s="1"/>
      <c r="UI1470" s="1"/>
      <c r="UJ1470" s="1"/>
      <c r="UK1470" s="1"/>
      <c r="UL1470" s="1"/>
      <c r="UM1470" s="1"/>
      <c r="UN1470" s="1"/>
      <c r="UO1470" s="1"/>
      <c r="UP1470" s="1"/>
      <c r="UQ1470" s="1"/>
      <c r="UR1470" s="1"/>
      <c r="US1470" s="1"/>
      <c r="UT1470" s="1"/>
      <c r="UU1470" s="1"/>
      <c r="UV1470" s="1"/>
      <c r="UW1470" s="1"/>
      <c r="UX1470" s="1"/>
      <c r="UY1470" s="1"/>
      <c r="UZ1470" s="1"/>
      <c r="VA1470" s="1"/>
      <c r="VB1470" s="1"/>
      <c r="VC1470" s="1"/>
      <c r="VD1470" s="1"/>
      <c r="VE1470" s="1"/>
      <c r="VF1470" s="1"/>
      <c r="VG1470" s="1"/>
      <c r="VH1470" s="1"/>
      <c r="VI1470" s="1"/>
      <c r="VJ1470" s="1"/>
      <c r="VK1470" s="1"/>
      <c r="VL1470" s="1"/>
      <c r="VM1470" s="1"/>
      <c r="VN1470" s="1"/>
      <c r="VO1470" s="1"/>
      <c r="VP1470" s="1"/>
      <c r="VQ1470" s="1"/>
      <c r="VR1470" s="1"/>
      <c r="VS1470" s="1"/>
      <c r="VT1470" s="1"/>
      <c r="VU1470" s="1"/>
      <c r="VV1470" s="1"/>
      <c r="VW1470" s="1"/>
      <c r="VX1470" s="1"/>
      <c r="VY1470" s="1"/>
      <c r="VZ1470" s="1"/>
      <c r="WA1470" s="1"/>
      <c r="WB1470" s="1"/>
      <c r="WC1470" s="1"/>
      <c r="WD1470" s="1"/>
      <c r="WE1470" s="1"/>
      <c r="WF1470" s="1"/>
      <c r="WG1470" s="1"/>
      <c r="WH1470" s="1"/>
      <c r="WI1470" s="1"/>
      <c r="WJ1470" s="1"/>
      <c r="WK1470" s="1"/>
      <c r="WL1470" s="1"/>
      <c r="WM1470" s="1"/>
      <c r="WN1470" s="1"/>
      <c r="WO1470" s="1"/>
      <c r="WP1470" s="1"/>
      <c r="WQ1470" s="1"/>
      <c r="WR1470" s="1"/>
      <c r="WS1470" s="1"/>
      <c r="WT1470" s="1"/>
      <c r="WU1470" s="1"/>
      <c r="WV1470" s="1"/>
      <c r="WW1470" s="1"/>
      <c r="WX1470" s="1"/>
      <c r="WY1470" s="1"/>
      <c r="WZ1470" s="1"/>
      <c r="XA1470" s="1"/>
      <c r="XB1470" s="1"/>
      <c r="XC1470" s="1"/>
      <c r="XD1470" s="1"/>
      <c r="XE1470" s="1"/>
      <c r="XF1470" s="1"/>
      <c r="XG1470" s="1"/>
      <c r="XH1470" s="1"/>
      <c r="XI1470" s="1"/>
      <c r="XJ1470" s="1"/>
      <c r="XK1470" s="1"/>
      <c r="XL1470" s="1"/>
      <c r="XM1470" s="1"/>
      <c r="XN1470" s="1"/>
      <c r="XO1470" s="1"/>
      <c r="XP1470" s="1"/>
      <c r="XQ1470" s="1"/>
      <c r="XR1470" s="1"/>
      <c r="XS1470" s="1"/>
      <c r="XT1470" s="1"/>
      <c r="XU1470" s="1"/>
      <c r="XV1470" s="1"/>
      <c r="XW1470" s="1"/>
      <c r="XX1470" s="1"/>
      <c r="XY1470" s="1"/>
      <c r="XZ1470" s="1"/>
      <c r="YA1470" s="1"/>
      <c r="YB1470" s="1"/>
      <c r="YC1470" s="1"/>
      <c r="YD1470" s="1"/>
      <c r="YE1470" s="1"/>
      <c r="YF1470" s="1"/>
      <c r="YG1470" s="1"/>
      <c r="YH1470" s="1"/>
      <c r="YI1470" s="1"/>
      <c r="YJ1470" s="1"/>
      <c r="YK1470" s="1"/>
      <c r="YL1470" s="1"/>
      <c r="YM1470" s="1"/>
      <c r="YN1470" s="1"/>
      <c r="YO1470" s="1"/>
      <c r="YP1470" s="1"/>
      <c r="YQ1470" s="1"/>
      <c r="YR1470" s="1"/>
      <c r="YS1470" s="1"/>
      <c r="YT1470" s="1"/>
      <c r="YU1470" s="1"/>
      <c r="YV1470" s="1"/>
      <c r="YW1470" s="1"/>
      <c r="YX1470" s="1"/>
      <c r="YY1470" s="1"/>
      <c r="YZ1470" s="1"/>
      <c r="ZA1470" s="1"/>
      <c r="ZB1470" s="1"/>
      <c r="ZC1470" s="1"/>
      <c r="ZD1470" s="1"/>
      <c r="ZE1470" s="1"/>
      <c r="ZF1470" s="1"/>
      <c r="ZG1470" s="1"/>
      <c r="ZH1470" s="1"/>
      <c r="ZI1470" s="1"/>
      <c r="ZJ1470" s="1"/>
      <c r="ZK1470" s="1"/>
      <c r="ZL1470" s="1"/>
      <c r="ZM1470" s="1"/>
      <c r="ZN1470" s="1"/>
      <c r="ZO1470" s="1"/>
      <c r="ZP1470" s="1"/>
      <c r="ZQ1470" s="1"/>
      <c r="ZR1470" s="1"/>
      <c r="ZS1470" s="1"/>
      <c r="ZT1470" s="1"/>
      <c r="ZU1470" s="1"/>
      <c r="ZV1470" s="1"/>
      <c r="ZW1470" s="1"/>
      <c r="ZX1470" s="1"/>
      <c r="ZY1470" s="1"/>
      <c r="ZZ1470" s="1"/>
      <c r="AAA1470" s="1"/>
      <c r="AAB1470" s="1"/>
      <c r="AAC1470" s="1"/>
      <c r="AAD1470" s="1"/>
      <c r="AAE1470" s="1"/>
      <c r="AAF1470" s="1"/>
      <c r="AAG1470" s="1"/>
      <c r="AAH1470" s="1"/>
      <c r="AAI1470" s="1"/>
      <c r="AAJ1470" s="1"/>
      <c r="AAK1470" s="1"/>
      <c r="AAL1470" s="1"/>
      <c r="AAM1470" s="1"/>
      <c r="AAN1470" s="1"/>
      <c r="AAO1470" s="1"/>
      <c r="AAP1470" s="1"/>
      <c r="AAQ1470" s="1"/>
      <c r="AAR1470" s="1"/>
      <c r="AAS1470" s="1"/>
      <c r="AAT1470" s="1"/>
      <c r="AAU1470" s="1"/>
      <c r="AAV1470" s="1"/>
      <c r="AAW1470" s="1"/>
      <c r="AAX1470" s="1"/>
      <c r="AAY1470" s="1"/>
      <c r="AAZ1470" s="1"/>
      <c r="ABA1470" s="1"/>
      <c r="ABB1470" s="1"/>
      <c r="ABC1470" s="1"/>
      <c r="ABD1470" s="1"/>
      <c r="ABE1470" s="1"/>
      <c r="ABF1470" s="1"/>
      <c r="ABG1470" s="1"/>
      <c r="ABH1470" s="1"/>
      <c r="ABI1470" s="1"/>
      <c r="ABJ1470" s="1"/>
      <c r="ABK1470" s="1"/>
      <c r="ABL1470" s="1"/>
      <c r="ABM1470" s="1"/>
      <c r="ABN1470" s="1"/>
      <c r="ABO1470" s="1"/>
      <c r="ABP1470" s="1"/>
      <c r="ABQ1470" s="1"/>
      <c r="ABR1470" s="1"/>
      <c r="ABS1470" s="1"/>
      <c r="ABT1470" s="1"/>
      <c r="ABU1470" s="1"/>
      <c r="ABV1470" s="1"/>
      <c r="ABW1470" s="1"/>
      <c r="ABX1470" s="1"/>
      <c r="ABY1470" s="1"/>
      <c r="ABZ1470" s="1"/>
      <c r="ACA1470" s="1"/>
      <c r="ACB1470" s="1"/>
      <c r="ACC1470" s="1"/>
      <c r="ACD1470" s="1"/>
      <c r="ACE1470" s="1"/>
      <c r="ACF1470" s="1"/>
      <c r="ACG1470" s="1"/>
      <c r="ACH1470" s="1"/>
      <c r="ACI1470" s="1"/>
      <c r="ACJ1470" s="1"/>
      <c r="ACK1470" s="1"/>
      <c r="ACL1470" s="1"/>
      <c r="ACM1470" s="1"/>
      <c r="ACN1470" s="1"/>
      <c r="ACO1470" s="1"/>
      <c r="ACP1470" s="1"/>
      <c r="ACQ1470" s="1"/>
      <c r="ACR1470" s="1"/>
      <c r="ACS1470" s="1"/>
      <c r="ACT1470" s="1"/>
      <c r="ACU1470" s="1"/>
      <c r="ACV1470" s="1"/>
      <c r="ACW1470" s="1"/>
      <c r="ACX1470" s="1"/>
      <c r="ACY1470" s="1"/>
      <c r="ACZ1470" s="1"/>
      <c r="ADA1470" s="1"/>
      <c r="ADB1470" s="1"/>
      <c r="ADC1470" s="1"/>
      <c r="ADD1470" s="1"/>
      <c r="ADE1470" s="1"/>
      <c r="ADF1470" s="1"/>
      <c r="ADG1470" s="1"/>
      <c r="ADH1470" s="1"/>
      <c r="ADI1470" s="1"/>
      <c r="ADJ1470" s="1"/>
      <c r="ADK1470" s="1"/>
      <c r="ADL1470" s="1"/>
      <c r="ADM1470" s="1"/>
      <c r="ADN1470" s="1"/>
      <c r="ADO1470" s="1"/>
      <c r="ADP1470" s="1"/>
      <c r="ADQ1470" s="1"/>
      <c r="ADR1470" s="1"/>
      <c r="ADS1470" s="1"/>
      <c r="ADT1470" s="1"/>
      <c r="ADU1470" s="1"/>
      <c r="ADV1470" s="1"/>
      <c r="ADW1470" s="1"/>
      <c r="ADX1470" s="1"/>
      <c r="ADY1470" s="1"/>
      <c r="ADZ1470" s="1"/>
      <c r="AEA1470" s="1"/>
      <c r="AEB1470" s="1"/>
      <c r="AEC1470" s="1"/>
      <c r="AED1470" s="1"/>
      <c r="AEE1470" s="1"/>
      <c r="AEF1470" s="1"/>
      <c r="AEG1470" s="1"/>
      <c r="AEH1470" s="1"/>
      <c r="AEI1470" s="1"/>
      <c r="AEJ1470" s="1"/>
      <c r="AEK1470" s="1"/>
      <c r="AEL1470" s="1"/>
      <c r="AEM1470" s="1"/>
      <c r="AEN1470" s="1"/>
      <c r="AEO1470" s="1"/>
      <c r="AEP1470" s="1"/>
      <c r="AEQ1470" s="1"/>
      <c r="AER1470" s="1"/>
      <c r="AES1470" s="1"/>
      <c r="AET1470" s="1"/>
      <c r="AEU1470" s="1"/>
      <c r="AEV1470" s="1"/>
      <c r="AEW1470" s="1"/>
      <c r="AEX1470" s="1"/>
      <c r="AEY1470" s="1"/>
      <c r="AEZ1470" s="1"/>
      <c r="AFA1470" s="1"/>
      <c r="AFB1470" s="1"/>
      <c r="AFC1470" s="1"/>
      <c r="AFD1470" s="1"/>
      <c r="AFE1470" s="1"/>
      <c r="AFF1470" s="1"/>
      <c r="AFG1470" s="1"/>
      <c r="AFH1470" s="1"/>
      <c r="AFI1470" s="1"/>
      <c r="AFJ1470" s="1"/>
      <c r="AFK1470" s="1"/>
      <c r="AFL1470" s="1"/>
      <c r="AFM1470" s="1"/>
      <c r="AFN1470" s="1"/>
      <c r="AFO1470" s="1"/>
      <c r="AFP1470" s="1"/>
      <c r="AFQ1470" s="1"/>
      <c r="AFR1470" s="1"/>
      <c r="AFS1470" s="1"/>
      <c r="AFT1470" s="1"/>
      <c r="AFU1470" s="1"/>
      <c r="AFV1470" s="1"/>
      <c r="AFW1470" s="1"/>
      <c r="AFX1470" s="1"/>
      <c r="AFY1470" s="1"/>
      <c r="AFZ1470" s="1"/>
      <c r="AGA1470" s="1"/>
      <c r="AGB1470" s="1"/>
      <c r="AGC1470" s="1"/>
      <c r="AGD1470" s="1"/>
      <c r="AGE1470" s="1"/>
      <c r="AGF1470" s="1"/>
      <c r="AGG1470" s="1"/>
      <c r="AGH1470" s="1"/>
      <c r="AGI1470" s="1"/>
      <c r="AGJ1470" s="1"/>
      <c r="AGK1470" s="1"/>
      <c r="AGL1470" s="1"/>
      <c r="AGM1470" s="1"/>
      <c r="AGN1470" s="1"/>
      <c r="AGO1470" s="1"/>
      <c r="AGP1470" s="1"/>
      <c r="AGQ1470" s="1"/>
      <c r="AGR1470" s="1"/>
      <c r="AGS1470" s="1"/>
      <c r="AGT1470" s="1"/>
      <c r="AGU1470" s="1"/>
      <c r="AGV1470" s="1"/>
      <c r="AGW1470" s="1"/>
      <c r="AGX1470" s="1"/>
      <c r="AGY1470" s="1"/>
      <c r="AGZ1470" s="1"/>
      <c r="AHA1470" s="1"/>
      <c r="AHB1470" s="1"/>
      <c r="AHC1470" s="1"/>
      <c r="AHD1470" s="1"/>
      <c r="AHE1470" s="1"/>
      <c r="AHF1470" s="1"/>
      <c r="AHG1470" s="1"/>
      <c r="AHH1470" s="1"/>
      <c r="AHI1470" s="1"/>
      <c r="AHJ1470" s="1"/>
      <c r="AHK1470" s="1"/>
      <c r="AHL1470" s="1"/>
      <c r="AHM1470" s="1"/>
      <c r="AHN1470" s="1"/>
      <c r="AHO1470" s="1"/>
      <c r="AHP1470" s="1"/>
      <c r="AHQ1470" s="1"/>
      <c r="AHR1470" s="1"/>
      <c r="AHS1470" s="1"/>
      <c r="AHT1470" s="1"/>
      <c r="AHU1470" s="1"/>
      <c r="AHV1470" s="1"/>
      <c r="AHW1470" s="1"/>
      <c r="AHX1470" s="1"/>
      <c r="AHY1470" s="1"/>
      <c r="AHZ1470" s="1"/>
      <c r="AIA1470" s="1"/>
      <c r="AIB1470" s="1"/>
      <c r="AIC1470" s="1"/>
      <c r="AID1470" s="1"/>
      <c r="AIE1470" s="1"/>
      <c r="AIF1470" s="1"/>
      <c r="AIG1470" s="1"/>
      <c r="AIH1470" s="1"/>
      <c r="AII1470" s="1"/>
      <c r="AIJ1470" s="1"/>
      <c r="AIK1470" s="1"/>
      <c r="AIL1470" s="1"/>
      <c r="AIM1470" s="1"/>
      <c r="AIN1470" s="1"/>
      <c r="AIO1470" s="1"/>
      <c r="AIP1470" s="1"/>
      <c r="AIQ1470" s="1"/>
      <c r="AIR1470" s="1"/>
      <c r="AIS1470" s="1"/>
      <c r="AIT1470" s="1"/>
      <c r="AIU1470" s="1"/>
      <c r="AIV1470" s="1"/>
      <c r="AIW1470" s="1"/>
      <c r="AIX1470" s="1"/>
      <c r="AIY1470" s="1"/>
      <c r="AIZ1470" s="1"/>
      <c r="AJA1470" s="1"/>
      <c r="AJB1470" s="1"/>
      <c r="AJC1470" s="1"/>
      <c r="AJD1470" s="1"/>
      <c r="AJE1470" s="1"/>
      <c r="AJF1470" s="1"/>
      <c r="AJG1470" s="1"/>
      <c r="AJH1470" s="1"/>
      <c r="AJI1470" s="1"/>
      <c r="AJJ1470" s="1"/>
      <c r="AJK1470" s="1"/>
      <c r="AJL1470" s="1"/>
      <c r="AJM1470" s="1"/>
      <c r="AJN1470" s="1"/>
      <c r="AJO1470" s="1"/>
      <c r="AJP1470" s="1"/>
      <c r="AJQ1470" s="1"/>
      <c r="AJR1470" s="1"/>
      <c r="AJS1470" s="1"/>
      <c r="AJT1470" s="1"/>
      <c r="AJU1470" s="1"/>
      <c r="AJV1470" s="1"/>
      <c r="AJW1470" s="1"/>
      <c r="AJX1470" s="1"/>
      <c r="AJY1470" s="1"/>
      <c r="AJZ1470" s="1"/>
      <c r="AKA1470" s="1"/>
      <c r="AKB1470" s="1"/>
      <c r="AKC1470" s="1"/>
      <c r="AKD1470" s="1"/>
      <c r="AKE1470" s="1"/>
      <c r="AKF1470" s="1"/>
      <c r="AKG1470" s="1"/>
      <c r="AKH1470" s="1"/>
      <c r="AKI1470" s="1"/>
      <c r="AKJ1470" s="1"/>
      <c r="AKK1470" s="1"/>
      <c r="AKL1470" s="1"/>
      <c r="AKM1470" s="1"/>
      <c r="AKN1470" s="1"/>
      <c r="AKO1470" s="1"/>
      <c r="AKP1470" s="1"/>
      <c r="AKQ1470" s="1"/>
      <c r="AKR1470" s="1"/>
      <c r="AKS1470" s="1"/>
      <c r="AKT1470" s="1"/>
      <c r="AKU1470" s="1"/>
      <c r="AKV1470" s="1"/>
      <c r="AKW1470" s="1"/>
      <c r="AKX1470" s="1"/>
      <c r="AKY1470" s="1"/>
      <c r="AKZ1470" s="1"/>
      <c r="ALA1470" s="1"/>
      <c r="ALB1470" s="1"/>
      <c r="ALC1470" s="1"/>
      <c r="ALD1470" s="1"/>
      <c r="ALE1470" s="1"/>
      <c r="ALF1470" s="1"/>
      <c r="ALG1470" s="1"/>
      <c r="ALH1470" s="1"/>
      <c r="ALI1470" s="1"/>
      <c r="ALJ1470" s="1"/>
      <c r="ALK1470" s="1"/>
      <c r="ALL1470" s="1"/>
      <c r="ALM1470" s="1"/>
      <c r="ALN1470" s="1"/>
      <c r="ALO1470" s="1"/>
      <c r="ALP1470" s="1"/>
      <c r="ALQ1470" s="1"/>
      <c r="ALR1470" s="1"/>
      <c r="ALS1470" s="1"/>
      <c r="ALT1470" s="1"/>
      <c r="ALU1470" s="1"/>
      <c r="ALV1470" s="1"/>
      <c r="ALW1470" s="1"/>
      <c r="ALX1470" s="1"/>
      <c r="ALY1470" s="1"/>
      <c r="ALZ1470" s="1"/>
      <c r="AMA1470" s="1"/>
      <c r="AMB1470" s="1"/>
      <c r="AMC1470" s="1"/>
      <c r="AMD1470" s="1"/>
      <c r="AME1470" s="1"/>
      <c r="AMF1470" s="1"/>
      <c r="AMG1470" s="1"/>
      <c r="AMH1470" s="1"/>
      <c r="AMI1470" s="1"/>
      <c r="AMJ1470" s="1"/>
      <c r="AMK1470" s="1"/>
    </row>
    <row r="1471" spans="1:1025" s="2" customFormat="1" ht="97.7" hidden="1" customHeight="1" x14ac:dyDescent="0.25">
      <c r="A1471" s="201"/>
      <c r="B1471" s="202"/>
      <c r="C1471" s="202"/>
      <c r="D1471" s="202"/>
      <c r="E1471" s="202"/>
      <c r="F1471" s="202"/>
      <c r="G1471" s="202"/>
      <c r="H1471" s="202"/>
      <c r="I1471" s="203"/>
      <c r="J1471" s="226" t="s">
        <v>997</v>
      </c>
      <c r="K1471" s="227">
        <f t="shared" si="26"/>
        <v>1396</v>
      </c>
      <c r="L1471" s="228" t="s">
        <v>3</v>
      </c>
      <c r="M1471" s="908">
        <f t="shared" si="27"/>
        <v>807.42</v>
      </c>
      <c r="N1471" s="194"/>
      <c r="O1471" s="55"/>
      <c r="P1471" s="226" t="s">
        <v>997</v>
      </c>
      <c r="Q1471" s="227">
        <f t="shared" si="28"/>
        <v>22168</v>
      </c>
      <c r="R1471" s="228" t="s">
        <v>3</v>
      </c>
      <c r="S1471" s="229">
        <f t="shared" si="29"/>
        <v>2732.2</v>
      </c>
      <c r="T1471" s="194"/>
      <c r="U1471" s="228"/>
      <c r="V1471" s="226" t="s">
        <v>997</v>
      </c>
      <c r="W1471" s="227">
        <f t="shared" si="30"/>
        <v>6900</v>
      </c>
      <c r="X1471" s="228" t="s">
        <v>3</v>
      </c>
      <c r="Y1471" s="229">
        <f t="shared" si="31"/>
        <v>2460</v>
      </c>
      <c r="Z1471" s="194"/>
      <c r="AA1471" s="55"/>
      <c r="AB1471" s="226" t="s">
        <v>997</v>
      </c>
      <c r="AC1471" s="227">
        <f t="shared" si="32"/>
        <v>7180</v>
      </c>
      <c r="AD1471" s="228" t="s">
        <v>3</v>
      </c>
      <c r="AE1471" s="229">
        <f t="shared" si="33"/>
        <v>2721.6</v>
      </c>
      <c r="AF1471" s="194"/>
      <c r="AG1471" s="55"/>
      <c r="AH1471" s="226" t="s">
        <v>997</v>
      </c>
      <c r="AI1471" s="227">
        <f t="shared" si="34"/>
        <v>7800</v>
      </c>
      <c r="AJ1471" s="228" t="s">
        <v>3</v>
      </c>
      <c r="AK1471" s="229">
        <f t="shared" si="35"/>
        <v>3296</v>
      </c>
      <c r="AL1471" s="194"/>
      <c r="AM1471" s="55"/>
      <c r="AN1471" s="226" t="s">
        <v>997</v>
      </c>
      <c r="AO1471" s="227">
        <f t="shared" si="36"/>
        <v>7700</v>
      </c>
      <c r="AP1471" s="228" t="s">
        <v>3</v>
      </c>
      <c r="AQ1471" s="229">
        <f t="shared" si="37"/>
        <v>3314</v>
      </c>
      <c r="AR1471" s="1170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  <c r="EA1471" s="1"/>
      <c r="EB1471" s="1"/>
      <c r="EC1471" s="1"/>
      <c r="ED1471" s="1"/>
      <c r="EE1471" s="1"/>
      <c r="EF1471" s="1"/>
      <c r="EG1471" s="1"/>
      <c r="EH1471" s="1"/>
      <c r="EI1471" s="1"/>
      <c r="EJ1471" s="1"/>
      <c r="EK1471" s="1"/>
      <c r="EL1471" s="1"/>
      <c r="EM1471" s="1"/>
      <c r="EN1471" s="1"/>
      <c r="EO1471" s="1"/>
      <c r="EP1471" s="1"/>
      <c r="EQ1471" s="1"/>
      <c r="ER1471" s="1"/>
      <c r="ES1471" s="1"/>
      <c r="ET1471" s="1"/>
      <c r="EU1471" s="1"/>
      <c r="EV1471" s="1"/>
      <c r="EW1471" s="1"/>
      <c r="EX1471" s="1"/>
      <c r="EY1471" s="1"/>
      <c r="EZ1471" s="1"/>
      <c r="FA1471" s="1"/>
      <c r="FB1471" s="1"/>
      <c r="FC1471" s="1"/>
      <c r="FD1471" s="1"/>
      <c r="FE1471" s="1"/>
      <c r="FF1471" s="1"/>
      <c r="FG1471" s="1"/>
      <c r="FH1471" s="1"/>
      <c r="FI1471" s="1"/>
      <c r="FJ1471" s="1"/>
      <c r="FK1471" s="1"/>
      <c r="FL1471" s="1"/>
      <c r="FM1471" s="1"/>
      <c r="FN1471" s="1"/>
      <c r="FO1471" s="1"/>
      <c r="FP1471" s="1"/>
      <c r="FQ1471" s="1"/>
      <c r="FR1471" s="1"/>
      <c r="FS1471" s="1"/>
      <c r="FT1471" s="1"/>
      <c r="FU1471" s="1"/>
      <c r="FV1471" s="1"/>
      <c r="FW1471" s="1"/>
      <c r="FX1471" s="1"/>
      <c r="FY1471" s="1"/>
      <c r="FZ1471" s="1"/>
      <c r="GA1471" s="1"/>
      <c r="GB1471" s="1"/>
      <c r="GC1471" s="1"/>
      <c r="GD1471" s="1"/>
      <c r="GE1471" s="1"/>
      <c r="GF1471" s="1"/>
      <c r="GG1471" s="1"/>
      <c r="GH1471" s="1"/>
      <c r="GI1471" s="1"/>
      <c r="GJ1471" s="1"/>
      <c r="GK1471" s="1"/>
      <c r="GL1471" s="1"/>
      <c r="GM1471" s="1"/>
      <c r="GN1471" s="1"/>
      <c r="GO1471" s="1"/>
      <c r="GP1471" s="1"/>
      <c r="GQ1471" s="1"/>
      <c r="GR1471" s="1"/>
      <c r="GS1471" s="1"/>
      <c r="GT1471" s="1"/>
      <c r="GU1471" s="1"/>
      <c r="GV1471" s="1"/>
      <c r="GW1471" s="1"/>
      <c r="GX1471" s="1"/>
      <c r="GY1471" s="1"/>
      <c r="GZ1471" s="1"/>
      <c r="HA1471" s="1"/>
      <c r="HB1471" s="1"/>
      <c r="HC1471" s="1"/>
      <c r="HD1471" s="1"/>
      <c r="HE1471" s="1"/>
      <c r="HF1471" s="1"/>
      <c r="HG1471" s="1"/>
      <c r="HH1471" s="1"/>
      <c r="HI1471" s="1"/>
      <c r="HJ1471" s="1"/>
      <c r="HK1471" s="1"/>
      <c r="HL1471" s="1"/>
      <c r="HM1471" s="1"/>
      <c r="HN1471" s="1"/>
      <c r="HO1471" s="1"/>
      <c r="HP1471" s="1"/>
      <c r="HQ1471" s="1"/>
      <c r="HR1471" s="1"/>
      <c r="HS1471" s="1"/>
      <c r="HT1471" s="1"/>
      <c r="HU1471" s="1"/>
      <c r="HV1471" s="1"/>
      <c r="HW1471" s="1"/>
      <c r="HX1471" s="1"/>
      <c r="HY1471" s="1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  <c r="IU1471" s="1"/>
      <c r="IV1471" s="1"/>
      <c r="IW1471" s="1"/>
      <c r="IX1471" s="1"/>
      <c r="IY1471" s="1"/>
      <c r="IZ1471" s="1"/>
      <c r="JA1471" s="1"/>
      <c r="JB1471" s="1"/>
      <c r="JC1471" s="1"/>
      <c r="JD1471" s="1"/>
      <c r="JE1471" s="1"/>
      <c r="JF1471" s="1"/>
      <c r="JG1471" s="1"/>
      <c r="JH1471" s="1"/>
      <c r="JI1471" s="1"/>
      <c r="JJ1471" s="1"/>
      <c r="JK1471" s="1"/>
      <c r="JL1471" s="1"/>
      <c r="JM1471" s="1"/>
      <c r="JN1471" s="1"/>
      <c r="JO1471" s="1"/>
      <c r="JP1471" s="1"/>
      <c r="JQ1471" s="1"/>
      <c r="JR1471" s="1"/>
      <c r="JS1471" s="1"/>
      <c r="JT1471" s="1"/>
      <c r="JU1471" s="1"/>
      <c r="JV1471" s="1"/>
      <c r="JW1471" s="1"/>
      <c r="JX1471" s="1"/>
      <c r="JY1471" s="1"/>
      <c r="JZ1471" s="1"/>
      <c r="KA1471" s="1"/>
      <c r="KB1471" s="1"/>
      <c r="KC1471" s="1"/>
      <c r="KD1471" s="1"/>
      <c r="KE1471" s="1"/>
      <c r="KF1471" s="1"/>
      <c r="KG1471" s="1"/>
      <c r="KH1471" s="1"/>
      <c r="KI1471" s="1"/>
      <c r="KJ1471" s="1"/>
      <c r="KK1471" s="1"/>
      <c r="KL1471" s="1"/>
      <c r="KM1471" s="1"/>
      <c r="KN1471" s="1"/>
      <c r="KO1471" s="1"/>
      <c r="KP1471" s="1"/>
      <c r="KQ1471" s="1"/>
      <c r="KR1471" s="1"/>
      <c r="KS1471" s="1"/>
      <c r="KT1471" s="1"/>
      <c r="KU1471" s="1"/>
      <c r="KV1471" s="1"/>
      <c r="KW1471" s="1"/>
      <c r="KX1471" s="1"/>
      <c r="KY1471" s="1"/>
      <c r="KZ1471" s="1"/>
      <c r="LA1471" s="1"/>
      <c r="LB1471" s="1"/>
      <c r="LC1471" s="1"/>
      <c r="LD1471" s="1"/>
      <c r="LE1471" s="1"/>
      <c r="LF1471" s="1"/>
      <c r="LG1471" s="1"/>
      <c r="LH1471" s="1"/>
      <c r="LI1471" s="1"/>
      <c r="LJ1471" s="1"/>
      <c r="LK1471" s="1"/>
      <c r="LL1471" s="1"/>
      <c r="LM1471" s="1"/>
      <c r="LN1471" s="1"/>
      <c r="LO1471" s="1"/>
      <c r="LP1471" s="1"/>
      <c r="LQ1471" s="1"/>
      <c r="LR1471" s="1"/>
      <c r="LS1471" s="1"/>
      <c r="LT1471" s="1"/>
      <c r="LU1471" s="1"/>
      <c r="LV1471" s="1"/>
      <c r="LW1471" s="1"/>
      <c r="LX1471" s="1"/>
      <c r="LY1471" s="1"/>
      <c r="LZ1471" s="1"/>
      <c r="MA1471" s="1"/>
      <c r="MB1471" s="1"/>
      <c r="MC1471" s="1"/>
      <c r="MD1471" s="1"/>
      <c r="ME1471" s="1"/>
      <c r="MF1471" s="1"/>
      <c r="MG1471" s="1"/>
      <c r="MH1471" s="1"/>
      <c r="MI1471" s="1"/>
      <c r="MJ1471" s="1"/>
      <c r="MK1471" s="1"/>
      <c r="ML1471" s="1"/>
      <c r="MM1471" s="1"/>
      <c r="MN1471" s="1"/>
      <c r="MO1471" s="1"/>
      <c r="MP1471" s="1"/>
      <c r="MQ1471" s="1"/>
      <c r="MR1471" s="1"/>
      <c r="MS1471" s="1"/>
      <c r="MT1471" s="1"/>
      <c r="MU1471" s="1"/>
      <c r="MV1471" s="1"/>
      <c r="MW1471" s="1"/>
      <c r="MX1471" s="1"/>
      <c r="MY1471" s="1"/>
      <c r="MZ1471" s="1"/>
      <c r="NA1471" s="1"/>
      <c r="NB1471" s="1"/>
      <c r="NC1471" s="1"/>
      <c r="ND1471" s="1"/>
      <c r="NE1471" s="1"/>
      <c r="NF1471" s="1"/>
      <c r="NG1471" s="1"/>
      <c r="NH1471" s="1"/>
      <c r="NI1471" s="1"/>
      <c r="NJ1471" s="1"/>
      <c r="NK1471" s="1"/>
      <c r="NL1471" s="1"/>
      <c r="NM1471" s="1"/>
      <c r="NN1471" s="1"/>
      <c r="NO1471" s="1"/>
      <c r="NP1471" s="1"/>
      <c r="NQ1471" s="1"/>
      <c r="NR1471" s="1"/>
      <c r="NS1471" s="1"/>
      <c r="NT1471" s="1"/>
      <c r="NU1471" s="1"/>
      <c r="NV1471" s="1"/>
      <c r="NW1471" s="1"/>
      <c r="NX1471" s="1"/>
      <c r="NY1471" s="1"/>
      <c r="NZ1471" s="1"/>
      <c r="OA1471" s="1"/>
      <c r="OB1471" s="1"/>
      <c r="OC1471" s="1"/>
      <c r="OD1471" s="1"/>
      <c r="OE1471" s="1"/>
      <c r="OF1471" s="1"/>
      <c r="OG1471" s="1"/>
      <c r="OH1471" s="1"/>
      <c r="OI1471" s="1"/>
      <c r="OJ1471" s="1"/>
      <c r="OK1471" s="1"/>
      <c r="OL1471" s="1"/>
      <c r="OM1471" s="1"/>
      <c r="ON1471" s="1"/>
      <c r="OO1471" s="1"/>
      <c r="OP1471" s="1"/>
      <c r="OQ1471" s="1"/>
      <c r="OR1471" s="1"/>
      <c r="OS1471" s="1"/>
      <c r="OT1471" s="1"/>
      <c r="OU1471" s="1"/>
      <c r="OV1471" s="1"/>
      <c r="OW1471" s="1"/>
      <c r="OX1471" s="1"/>
      <c r="OY1471" s="1"/>
      <c r="OZ1471" s="1"/>
      <c r="PA1471" s="1"/>
      <c r="PB1471" s="1"/>
      <c r="PC1471" s="1"/>
      <c r="PD1471" s="1"/>
      <c r="PE1471" s="1"/>
      <c r="PF1471" s="1"/>
      <c r="PG1471" s="1"/>
      <c r="PH1471" s="1"/>
      <c r="PI1471" s="1"/>
      <c r="PJ1471" s="1"/>
      <c r="PK1471" s="1"/>
      <c r="PL1471" s="1"/>
      <c r="PM1471" s="1"/>
      <c r="PN1471" s="1"/>
      <c r="PO1471" s="1"/>
      <c r="PP1471" s="1"/>
      <c r="PQ1471" s="1"/>
      <c r="PR1471" s="1"/>
      <c r="PS1471" s="1"/>
      <c r="PT1471" s="1"/>
      <c r="PU1471" s="1"/>
      <c r="PV1471" s="1"/>
      <c r="PW1471" s="1"/>
      <c r="PX1471" s="1"/>
      <c r="PY1471" s="1"/>
      <c r="PZ1471" s="1"/>
      <c r="QA1471" s="1"/>
      <c r="QB1471" s="1"/>
      <c r="QC1471" s="1"/>
      <c r="QD1471" s="1"/>
      <c r="QE1471" s="1"/>
      <c r="QF1471" s="1"/>
      <c r="QG1471" s="1"/>
      <c r="QH1471" s="1"/>
      <c r="QI1471" s="1"/>
      <c r="QJ1471" s="1"/>
      <c r="QK1471" s="1"/>
      <c r="QL1471" s="1"/>
      <c r="QM1471" s="1"/>
      <c r="QN1471" s="1"/>
      <c r="QO1471" s="1"/>
      <c r="QP1471" s="1"/>
      <c r="QQ1471" s="1"/>
      <c r="QR1471" s="1"/>
      <c r="QS1471" s="1"/>
      <c r="QT1471" s="1"/>
      <c r="QU1471" s="1"/>
      <c r="QV1471" s="1"/>
      <c r="QW1471" s="1"/>
      <c r="QX1471" s="1"/>
      <c r="QY1471" s="1"/>
      <c r="QZ1471" s="1"/>
      <c r="RA1471" s="1"/>
      <c r="RB1471" s="1"/>
      <c r="RC1471" s="1"/>
      <c r="RD1471" s="1"/>
      <c r="RE1471" s="1"/>
      <c r="RF1471" s="1"/>
      <c r="RG1471" s="1"/>
      <c r="RH1471" s="1"/>
      <c r="RI1471" s="1"/>
      <c r="RJ1471" s="1"/>
      <c r="RK1471" s="1"/>
      <c r="RL1471" s="1"/>
      <c r="RM1471" s="1"/>
      <c r="RN1471" s="1"/>
      <c r="RO1471" s="1"/>
      <c r="RP1471" s="1"/>
      <c r="RQ1471" s="1"/>
      <c r="RR1471" s="1"/>
      <c r="RS1471" s="1"/>
      <c r="RT1471" s="1"/>
      <c r="RU1471" s="1"/>
      <c r="RV1471" s="1"/>
      <c r="RW1471" s="1"/>
      <c r="RX1471" s="1"/>
      <c r="RY1471" s="1"/>
      <c r="RZ1471" s="1"/>
      <c r="SA1471" s="1"/>
      <c r="SB1471" s="1"/>
      <c r="SC1471" s="1"/>
      <c r="SD1471" s="1"/>
      <c r="SE1471" s="1"/>
      <c r="SF1471" s="1"/>
      <c r="SG1471" s="1"/>
      <c r="SH1471" s="1"/>
      <c r="SI1471" s="1"/>
      <c r="SJ1471" s="1"/>
      <c r="SK1471" s="1"/>
      <c r="SL1471" s="1"/>
      <c r="SM1471" s="1"/>
      <c r="SN1471" s="1"/>
      <c r="SO1471" s="1"/>
      <c r="SP1471" s="1"/>
      <c r="SQ1471" s="1"/>
      <c r="SR1471" s="1"/>
      <c r="SS1471" s="1"/>
      <c r="ST1471" s="1"/>
      <c r="SU1471" s="1"/>
      <c r="SV1471" s="1"/>
      <c r="SW1471" s="1"/>
      <c r="SX1471" s="1"/>
      <c r="SY1471" s="1"/>
      <c r="SZ1471" s="1"/>
      <c r="TA1471" s="1"/>
      <c r="TB1471" s="1"/>
      <c r="TC1471" s="1"/>
      <c r="TD1471" s="1"/>
      <c r="TE1471" s="1"/>
      <c r="TF1471" s="1"/>
      <c r="TG1471" s="1"/>
      <c r="TH1471" s="1"/>
      <c r="TI1471" s="1"/>
      <c r="TJ1471" s="1"/>
      <c r="TK1471" s="1"/>
      <c r="TL1471" s="1"/>
      <c r="TM1471" s="1"/>
      <c r="TN1471" s="1"/>
      <c r="TO1471" s="1"/>
      <c r="TP1471" s="1"/>
      <c r="TQ1471" s="1"/>
      <c r="TR1471" s="1"/>
      <c r="TS1471" s="1"/>
      <c r="TT1471" s="1"/>
      <c r="TU1471" s="1"/>
      <c r="TV1471" s="1"/>
      <c r="TW1471" s="1"/>
      <c r="TX1471" s="1"/>
      <c r="TY1471" s="1"/>
      <c r="TZ1471" s="1"/>
      <c r="UA1471" s="1"/>
      <c r="UB1471" s="1"/>
      <c r="UC1471" s="1"/>
      <c r="UD1471" s="1"/>
      <c r="UE1471" s="1"/>
      <c r="UF1471" s="1"/>
      <c r="UG1471" s="1"/>
      <c r="UH1471" s="1"/>
      <c r="UI1471" s="1"/>
      <c r="UJ1471" s="1"/>
      <c r="UK1471" s="1"/>
      <c r="UL1471" s="1"/>
      <c r="UM1471" s="1"/>
      <c r="UN1471" s="1"/>
      <c r="UO1471" s="1"/>
      <c r="UP1471" s="1"/>
      <c r="UQ1471" s="1"/>
      <c r="UR1471" s="1"/>
      <c r="US1471" s="1"/>
      <c r="UT1471" s="1"/>
      <c r="UU1471" s="1"/>
      <c r="UV1471" s="1"/>
      <c r="UW1471" s="1"/>
      <c r="UX1471" s="1"/>
      <c r="UY1471" s="1"/>
      <c r="UZ1471" s="1"/>
      <c r="VA1471" s="1"/>
      <c r="VB1471" s="1"/>
      <c r="VC1471" s="1"/>
      <c r="VD1471" s="1"/>
      <c r="VE1471" s="1"/>
      <c r="VF1471" s="1"/>
      <c r="VG1471" s="1"/>
      <c r="VH1471" s="1"/>
      <c r="VI1471" s="1"/>
      <c r="VJ1471" s="1"/>
      <c r="VK1471" s="1"/>
      <c r="VL1471" s="1"/>
      <c r="VM1471" s="1"/>
      <c r="VN1471" s="1"/>
      <c r="VO1471" s="1"/>
      <c r="VP1471" s="1"/>
      <c r="VQ1471" s="1"/>
      <c r="VR1471" s="1"/>
      <c r="VS1471" s="1"/>
      <c r="VT1471" s="1"/>
      <c r="VU1471" s="1"/>
      <c r="VV1471" s="1"/>
      <c r="VW1471" s="1"/>
      <c r="VX1471" s="1"/>
      <c r="VY1471" s="1"/>
      <c r="VZ1471" s="1"/>
      <c r="WA1471" s="1"/>
      <c r="WB1471" s="1"/>
      <c r="WC1471" s="1"/>
      <c r="WD1471" s="1"/>
      <c r="WE1471" s="1"/>
      <c r="WF1471" s="1"/>
      <c r="WG1471" s="1"/>
      <c r="WH1471" s="1"/>
      <c r="WI1471" s="1"/>
      <c r="WJ1471" s="1"/>
      <c r="WK1471" s="1"/>
      <c r="WL1471" s="1"/>
      <c r="WM1471" s="1"/>
      <c r="WN1471" s="1"/>
      <c r="WO1471" s="1"/>
      <c r="WP1471" s="1"/>
      <c r="WQ1471" s="1"/>
      <c r="WR1471" s="1"/>
      <c r="WS1471" s="1"/>
      <c r="WT1471" s="1"/>
      <c r="WU1471" s="1"/>
      <c r="WV1471" s="1"/>
      <c r="WW1471" s="1"/>
      <c r="WX1471" s="1"/>
      <c r="WY1471" s="1"/>
      <c r="WZ1471" s="1"/>
      <c r="XA1471" s="1"/>
      <c r="XB1471" s="1"/>
      <c r="XC1471" s="1"/>
      <c r="XD1471" s="1"/>
      <c r="XE1471" s="1"/>
      <c r="XF1471" s="1"/>
      <c r="XG1471" s="1"/>
      <c r="XH1471" s="1"/>
      <c r="XI1471" s="1"/>
      <c r="XJ1471" s="1"/>
      <c r="XK1471" s="1"/>
      <c r="XL1471" s="1"/>
      <c r="XM1471" s="1"/>
      <c r="XN1471" s="1"/>
      <c r="XO1471" s="1"/>
      <c r="XP1471" s="1"/>
      <c r="XQ1471" s="1"/>
      <c r="XR1471" s="1"/>
      <c r="XS1471" s="1"/>
      <c r="XT1471" s="1"/>
      <c r="XU1471" s="1"/>
      <c r="XV1471" s="1"/>
      <c r="XW1471" s="1"/>
      <c r="XX1471" s="1"/>
      <c r="XY1471" s="1"/>
      <c r="XZ1471" s="1"/>
      <c r="YA1471" s="1"/>
      <c r="YB1471" s="1"/>
      <c r="YC1471" s="1"/>
      <c r="YD1471" s="1"/>
      <c r="YE1471" s="1"/>
      <c r="YF1471" s="1"/>
      <c r="YG1471" s="1"/>
      <c r="YH1471" s="1"/>
      <c r="YI1471" s="1"/>
      <c r="YJ1471" s="1"/>
      <c r="YK1471" s="1"/>
      <c r="YL1471" s="1"/>
      <c r="YM1471" s="1"/>
      <c r="YN1471" s="1"/>
      <c r="YO1471" s="1"/>
      <c r="YP1471" s="1"/>
      <c r="YQ1471" s="1"/>
      <c r="YR1471" s="1"/>
      <c r="YS1471" s="1"/>
      <c r="YT1471" s="1"/>
      <c r="YU1471" s="1"/>
      <c r="YV1471" s="1"/>
      <c r="YW1471" s="1"/>
      <c r="YX1471" s="1"/>
      <c r="YY1471" s="1"/>
      <c r="YZ1471" s="1"/>
      <c r="ZA1471" s="1"/>
      <c r="ZB1471" s="1"/>
      <c r="ZC1471" s="1"/>
      <c r="ZD1471" s="1"/>
      <c r="ZE1471" s="1"/>
      <c r="ZF1471" s="1"/>
      <c r="ZG1471" s="1"/>
      <c r="ZH1471" s="1"/>
      <c r="ZI1471" s="1"/>
      <c r="ZJ1471" s="1"/>
      <c r="ZK1471" s="1"/>
      <c r="ZL1471" s="1"/>
      <c r="ZM1471" s="1"/>
      <c r="ZN1471" s="1"/>
      <c r="ZO1471" s="1"/>
      <c r="ZP1471" s="1"/>
      <c r="ZQ1471" s="1"/>
      <c r="ZR1471" s="1"/>
      <c r="ZS1471" s="1"/>
      <c r="ZT1471" s="1"/>
      <c r="ZU1471" s="1"/>
      <c r="ZV1471" s="1"/>
      <c r="ZW1471" s="1"/>
      <c r="ZX1471" s="1"/>
      <c r="ZY1471" s="1"/>
      <c r="ZZ1471" s="1"/>
      <c r="AAA1471" s="1"/>
      <c r="AAB1471" s="1"/>
      <c r="AAC1471" s="1"/>
      <c r="AAD1471" s="1"/>
      <c r="AAE1471" s="1"/>
      <c r="AAF1471" s="1"/>
      <c r="AAG1471" s="1"/>
      <c r="AAH1471" s="1"/>
      <c r="AAI1471" s="1"/>
      <c r="AAJ1471" s="1"/>
      <c r="AAK1471" s="1"/>
      <c r="AAL1471" s="1"/>
      <c r="AAM1471" s="1"/>
      <c r="AAN1471" s="1"/>
      <c r="AAO1471" s="1"/>
      <c r="AAP1471" s="1"/>
      <c r="AAQ1471" s="1"/>
      <c r="AAR1471" s="1"/>
      <c r="AAS1471" s="1"/>
      <c r="AAT1471" s="1"/>
      <c r="AAU1471" s="1"/>
      <c r="AAV1471" s="1"/>
      <c r="AAW1471" s="1"/>
      <c r="AAX1471" s="1"/>
      <c r="AAY1471" s="1"/>
      <c r="AAZ1471" s="1"/>
      <c r="ABA1471" s="1"/>
      <c r="ABB1471" s="1"/>
      <c r="ABC1471" s="1"/>
      <c r="ABD1471" s="1"/>
      <c r="ABE1471" s="1"/>
      <c r="ABF1471" s="1"/>
      <c r="ABG1471" s="1"/>
      <c r="ABH1471" s="1"/>
      <c r="ABI1471" s="1"/>
      <c r="ABJ1471" s="1"/>
      <c r="ABK1471" s="1"/>
      <c r="ABL1471" s="1"/>
      <c r="ABM1471" s="1"/>
      <c r="ABN1471" s="1"/>
      <c r="ABO1471" s="1"/>
      <c r="ABP1471" s="1"/>
      <c r="ABQ1471" s="1"/>
      <c r="ABR1471" s="1"/>
      <c r="ABS1471" s="1"/>
      <c r="ABT1471" s="1"/>
      <c r="ABU1471" s="1"/>
      <c r="ABV1471" s="1"/>
      <c r="ABW1471" s="1"/>
      <c r="ABX1471" s="1"/>
      <c r="ABY1471" s="1"/>
      <c r="ABZ1471" s="1"/>
      <c r="ACA1471" s="1"/>
      <c r="ACB1471" s="1"/>
      <c r="ACC1471" s="1"/>
      <c r="ACD1471" s="1"/>
      <c r="ACE1471" s="1"/>
      <c r="ACF1471" s="1"/>
      <c r="ACG1471" s="1"/>
      <c r="ACH1471" s="1"/>
      <c r="ACI1471" s="1"/>
      <c r="ACJ1471" s="1"/>
      <c r="ACK1471" s="1"/>
      <c r="ACL1471" s="1"/>
      <c r="ACM1471" s="1"/>
      <c r="ACN1471" s="1"/>
      <c r="ACO1471" s="1"/>
      <c r="ACP1471" s="1"/>
      <c r="ACQ1471" s="1"/>
      <c r="ACR1471" s="1"/>
      <c r="ACS1471" s="1"/>
      <c r="ACT1471" s="1"/>
      <c r="ACU1471" s="1"/>
      <c r="ACV1471" s="1"/>
      <c r="ACW1471" s="1"/>
      <c r="ACX1471" s="1"/>
      <c r="ACY1471" s="1"/>
      <c r="ACZ1471" s="1"/>
      <c r="ADA1471" s="1"/>
      <c r="ADB1471" s="1"/>
      <c r="ADC1471" s="1"/>
      <c r="ADD1471" s="1"/>
      <c r="ADE1471" s="1"/>
      <c r="ADF1471" s="1"/>
      <c r="ADG1471" s="1"/>
      <c r="ADH1471" s="1"/>
      <c r="ADI1471" s="1"/>
      <c r="ADJ1471" s="1"/>
      <c r="ADK1471" s="1"/>
      <c r="ADL1471" s="1"/>
      <c r="ADM1471" s="1"/>
      <c r="ADN1471" s="1"/>
      <c r="ADO1471" s="1"/>
      <c r="ADP1471" s="1"/>
      <c r="ADQ1471" s="1"/>
      <c r="ADR1471" s="1"/>
      <c r="ADS1471" s="1"/>
      <c r="ADT1471" s="1"/>
      <c r="ADU1471" s="1"/>
      <c r="ADV1471" s="1"/>
      <c r="ADW1471" s="1"/>
      <c r="ADX1471" s="1"/>
      <c r="ADY1471" s="1"/>
      <c r="ADZ1471" s="1"/>
      <c r="AEA1471" s="1"/>
      <c r="AEB1471" s="1"/>
      <c r="AEC1471" s="1"/>
      <c r="AED1471" s="1"/>
      <c r="AEE1471" s="1"/>
      <c r="AEF1471" s="1"/>
      <c r="AEG1471" s="1"/>
      <c r="AEH1471" s="1"/>
      <c r="AEI1471" s="1"/>
      <c r="AEJ1471" s="1"/>
      <c r="AEK1471" s="1"/>
      <c r="AEL1471" s="1"/>
      <c r="AEM1471" s="1"/>
      <c r="AEN1471" s="1"/>
      <c r="AEO1471" s="1"/>
      <c r="AEP1471" s="1"/>
      <c r="AEQ1471" s="1"/>
      <c r="AER1471" s="1"/>
      <c r="AES1471" s="1"/>
      <c r="AET1471" s="1"/>
      <c r="AEU1471" s="1"/>
      <c r="AEV1471" s="1"/>
      <c r="AEW1471" s="1"/>
      <c r="AEX1471" s="1"/>
      <c r="AEY1471" s="1"/>
      <c r="AEZ1471" s="1"/>
      <c r="AFA1471" s="1"/>
      <c r="AFB1471" s="1"/>
      <c r="AFC1471" s="1"/>
      <c r="AFD1471" s="1"/>
      <c r="AFE1471" s="1"/>
      <c r="AFF1471" s="1"/>
      <c r="AFG1471" s="1"/>
      <c r="AFH1471" s="1"/>
      <c r="AFI1471" s="1"/>
      <c r="AFJ1471" s="1"/>
      <c r="AFK1471" s="1"/>
      <c r="AFL1471" s="1"/>
      <c r="AFM1471" s="1"/>
      <c r="AFN1471" s="1"/>
      <c r="AFO1471" s="1"/>
      <c r="AFP1471" s="1"/>
      <c r="AFQ1471" s="1"/>
      <c r="AFR1471" s="1"/>
      <c r="AFS1471" s="1"/>
      <c r="AFT1471" s="1"/>
      <c r="AFU1471" s="1"/>
      <c r="AFV1471" s="1"/>
      <c r="AFW1471" s="1"/>
      <c r="AFX1471" s="1"/>
      <c r="AFY1471" s="1"/>
      <c r="AFZ1471" s="1"/>
      <c r="AGA1471" s="1"/>
      <c r="AGB1471" s="1"/>
      <c r="AGC1471" s="1"/>
      <c r="AGD1471" s="1"/>
      <c r="AGE1471" s="1"/>
      <c r="AGF1471" s="1"/>
      <c r="AGG1471" s="1"/>
      <c r="AGH1471" s="1"/>
      <c r="AGI1471" s="1"/>
      <c r="AGJ1471" s="1"/>
      <c r="AGK1471" s="1"/>
      <c r="AGL1471" s="1"/>
      <c r="AGM1471" s="1"/>
      <c r="AGN1471" s="1"/>
      <c r="AGO1471" s="1"/>
      <c r="AGP1471" s="1"/>
      <c r="AGQ1471" s="1"/>
      <c r="AGR1471" s="1"/>
      <c r="AGS1471" s="1"/>
      <c r="AGT1471" s="1"/>
      <c r="AGU1471" s="1"/>
      <c r="AGV1471" s="1"/>
      <c r="AGW1471" s="1"/>
      <c r="AGX1471" s="1"/>
      <c r="AGY1471" s="1"/>
      <c r="AGZ1471" s="1"/>
      <c r="AHA1471" s="1"/>
      <c r="AHB1471" s="1"/>
      <c r="AHC1471" s="1"/>
      <c r="AHD1471" s="1"/>
      <c r="AHE1471" s="1"/>
      <c r="AHF1471" s="1"/>
      <c r="AHG1471" s="1"/>
      <c r="AHH1471" s="1"/>
      <c r="AHI1471" s="1"/>
      <c r="AHJ1471" s="1"/>
      <c r="AHK1471" s="1"/>
      <c r="AHL1471" s="1"/>
      <c r="AHM1471" s="1"/>
      <c r="AHN1471" s="1"/>
      <c r="AHO1471" s="1"/>
      <c r="AHP1471" s="1"/>
      <c r="AHQ1471" s="1"/>
      <c r="AHR1471" s="1"/>
      <c r="AHS1471" s="1"/>
      <c r="AHT1471" s="1"/>
      <c r="AHU1471" s="1"/>
      <c r="AHV1471" s="1"/>
      <c r="AHW1471" s="1"/>
      <c r="AHX1471" s="1"/>
      <c r="AHY1471" s="1"/>
      <c r="AHZ1471" s="1"/>
      <c r="AIA1471" s="1"/>
      <c r="AIB1471" s="1"/>
      <c r="AIC1471" s="1"/>
      <c r="AID1471" s="1"/>
      <c r="AIE1471" s="1"/>
      <c r="AIF1471" s="1"/>
      <c r="AIG1471" s="1"/>
      <c r="AIH1471" s="1"/>
      <c r="AII1471" s="1"/>
      <c r="AIJ1471" s="1"/>
      <c r="AIK1471" s="1"/>
      <c r="AIL1471" s="1"/>
      <c r="AIM1471" s="1"/>
      <c r="AIN1471" s="1"/>
      <c r="AIO1471" s="1"/>
      <c r="AIP1471" s="1"/>
      <c r="AIQ1471" s="1"/>
      <c r="AIR1471" s="1"/>
      <c r="AIS1471" s="1"/>
      <c r="AIT1471" s="1"/>
      <c r="AIU1471" s="1"/>
      <c r="AIV1471" s="1"/>
      <c r="AIW1471" s="1"/>
      <c r="AIX1471" s="1"/>
      <c r="AIY1471" s="1"/>
      <c r="AIZ1471" s="1"/>
      <c r="AJA1471" s="1"/>
      <c r="AJB1471" s="1"/>
      <c r="AJC1471" s="1"/>
      <c r="AJD1471" s="1"/>
      <c r="AJE1471" s="1"/>
      <c r="AJF1471" s="1"/>
      <c r="AJG1471" s="1"/>
      <c r="AJH1471" s="1"/>
      <c r="AJI1471" s="1"/>
      <c r="AJJ1471" s="1"/>
      <c r="AJK1471" s="1"/>
      <c r="AJL1471" s="1"/>
      <c r="AJM1471" s="1"/>
      <c r="AJN1471" s="1"/>
      <c r="AJO1471" s="1"/>
      <c r="AJP1471" s="1"/>
      <c r="AJQ1471" s="1"/>
      <c r="AJR1471" s="1"/>
      <c r="AJS1471" s="1"/>
      <c r="AJT1471" s="1"/>
      <c r="AJU1471" s="1"/>
      <c r="AJV1471" s="1"/>
      <c r="AJW1471" s="1"/>
      <c r="AJX1471" s="1"/>
      <c r="AJY1471" s="1"/>
      <c r="AJZ1471" s="1"/>
      <c r="AKA1471" s="1"/>
      <c r="AKB1471" s="1"/>
      <c r="AKC1471" s="1"/>
      <c r="AKD1471" s="1"/>
      <c r="AKE1471" s="1"/>
      <c r="AKF1471" s="1"/>
      <c r="AKG1471" s="1"/>
      <c r="AKH1471" s="1"/>
      <c r="AKI1471" s="1"/>
      <c r="AKJ1471" s="1"/>
      <c r="AKK1471" s="1"/>
      <c r="AKL1471" s="1"/>
      <c r="AKM1471" s="1"/>
      <c r="AKN1471" s="1"/>
      <c r="AKO1471" s="1"/>
      <c r="AKP1471" s="1"/>
      <c r="AKQ1471" s="1"/>
      <c r="AKR1471" s="1"/>
      <c r="AKS1471" s="1"/>
      <c r="AKT1471" s="1"/>
      <c r="AKU1471" s="1"/>
      <c r="AKV1471" s="1"/>
      <c r="AKW1471" s="1"/>
      <c r="AKX1471" s="1"/>
      <c r="AKY1471" s="1"/>
      <c r="AKZ1471" s="1"/>
      <c r="ALA1471" s="1"/>
      <c r="ALB1471" s="1"/>
      <c r="ALC1471" s="1"/>
      <c r="ALD1471" s="1"/>
      <c r="ALE1471" s="1"/>
      <c r="ALF1471" s="1"/>
      <c r="ALG1471" s="1"/>
      <c r="ALH1471" s="1"/>
      <c r="ALI1471" s="1"/>
      <c r="ALJ1471" s="1"/>
      <c r="ALK1471" s="1"/>
      <c r="ALL1471" s="1"/>
      <c r="ALM1471" s="1"/>
      <c r="ALN1471" s="1"/>
      <c r="ALO1471" s="1"/>
      <c r="ALP1471" s="1"/>
      <c r="ALQ1471" s="1"/>
      <c r="ALR1471" s="1"/>
      <c r="ALS1471" s="1"/>
      <c r="ALT1471" s="1"/>
      <c r="ALU1471" s="1"/>
      <c r="ALV1471" s="1"/>
      <c r="ALW1471" s="1"/>
      <c r="ALX1471" s="1"/>
      <c r="ALY1471" s="1"/>
      <c r="ALZ1471" s="1"/>
      <c r="AMA1471" s="1"/>
      <c r="AMB1471" s="1"/>
      <c r="AMC1471" s="1"/>
      <c r="AMD1471" s="1"/>
      <c r="AME1471" s="1"/>
      <c r="AMF1471" s="1"/>
      <c r="AMG1471" s="1"/>
      <c r="AMH1471" s="1"/>
      <c r="AMI1471" s="1"/>
      <c r="AMJ1471" s="1"/>
      <c r="AMK1471" s="1"/>
    </row>
    <row r="1472" spans="1:1025" s="2" customFormat="1" ht="103.5" hidden="1" customHeight="1" x14ac:dyDescent="0.25">
      <c r="A1472" s="201"/>
      <c r="B1472" s="202"/>
      <c r="C1472" s="202"/>
      <c r="D1472" s="202"/>
      <c r="E1472" s="202"/>
      <c r="F1472" s="202"/>
      <c r="G1472" s="202"/>
      <c r="H1472" s="202"/>
      <c r="I1472" s="203"/>
      <c r="J1472" s="226" t="s">
        <v>998</v>
      </c>
      <c r="K1472" s="227">
        <f t="shared" si="26"/>
        <v>57779</v>
      </c>
      <c r="L1472" s="228" t="s">
        <v>3</v>
      </c>
      <c r="M1472" s="908">
        <f t="shared" si="27"/>
        <v>2780.87</v>
      </c>
      <c r="N1472" s="194"/>
      <c r="O1472" s="55"/>
      <c r="P1472" s="226" t="s">
        <v>998</v>
      </c>
      <c r="Q1472" s="227">
        <f t="shared" si="28"/>
        <v>41625</v>
      </c>
      <c r="R1472" s="228" t="s">
        <v>3</v>
      </c>
      <c r="S1472" s="229">
        <f t="shared" si="29"/>
        <v>1638.6</v>
      </c>
      <c r="T1472" s="194"/>
      <c r="U1472" s="228"/>
      <c r="V1472" s="226" t="s">
        <v>998</v>
      </c>
      <c r="W1472" s="227">
        <f t="shared" si="30"/>
        <v>16200</v>
      </c>
      <c r="X1472" s="228" t="s">
        <v>3</v>
      </c>
      <c r="Y1472" s="229">
        <f t="shared" si="31"/>
        <v>972.5</v>
      </c>
      <c r="Z1472" s="194"/>
      <c r="AA1472" s="55"/>
      <c r="AB1472" s="226" t="s">
        <v>998</v>
      </c>
      <c r="AC1472" s="227">
        <f t="shared" si="32"/>
        <v>46125</v>
      </c>
      <c r="AD1472" s="228" t="s">
        <v>3</v>
      </c>
      <c r="AE1472" s="229">
        <f t="shared" si="33"/>
        <v>1681.8</v>
      </c>
      <c r="AF1472" s="194"/>
      <c r="AG1472" s="55"/>
      <c r="AH1472" s="226" t="s">
        <v>998</v>
      </c>
      <c r="AI1472" s="227">
        <f t="shared" si="34"/>
        <v>46125</v>
      </c>
      <c r="AJ1472" s="228" t="s">
        <v>3</v>
      </c>
      <c r="AK1472" s="229">
        <f t="shared" si="35"/>
        <v>1681.8</v>
      </c>
      <c r="AL1472" s="194"/>
      <c r="AM1472" s="55"/>
      <c r="AN1472" s="226" t="s">
        <v>998</v>
      </c>
      <c r="AO1472" s="227">
        <f t="shared" si="36"/>
        <v>46125</v>
      </c>
      <c r="AP1472" s="228" t="s">
        <v>3</v>
      </c>
      <c r="AQ1472" s="229">
        <f t="shared" si="37"/>
        <v>1681.8</v>
      </c>
      <c r="AR1472" s="1170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  <c r="EA1472" s="1"/>
      <c r="EB1472" s="1"/>
      <c r="EC1472" s="1"/>
      <c r="ED1472" s="1"/>
      <c r="EE1472" s="1"/>
      <c r="EF1472" s="1"/>
      <c r="EG1472" s="1"/>
      <c r="EH1472" s="1"/>
      <c r="EI1472" s="1"/>
      <c r="EJ1472" s="1"/>
      <c r="EK1472" s="1"/>
      <c r="EL1472" s="1"/>
      <c r="EM1472" s="1"/>
      <c r="EN1472" s="1"/>
      <c r="EO1472" s="1"/>
      <c r="EP1472" s="1"/>
      <c r="EQ1472" s="1"/>
      <c r="ER1472" s="1"/>
      <c r="ES1472" s="1"/>
      <c r="ET1472" s="1"/>
      <c r="EU1472" s="1"/>
      <c r="EV1472" s="1"/>
      <c r="EW1472" s="1"/>
      <c r="EX1472" s="1"/>
      <c r="EY1472" s="1"/>
      <c r="EZ1472" s="1"/>
      <c r="FA1472" s="1"/>
      <c r="FB1472" s="1"/>
      <c r="FC1472" s="1"/>
      <c r="FD1472" s="1"/>
      <c r="FE1472" s="1"/>
      <c r="FF1472" s="1"/>
      <c r="FG1472" s="1"/>
      <c r="FH1472" s="1"/>
      <c r="FI1472" s="1"/>
      <c r="FJ1472" s="1"/>
      <c r="FK1472" s="1"/>
      <c r="FL1472" s="1"/>
      <c r="FM1472" s="1"/>
      <c r="FN1472" s="1"/>
      <c r="FO1472" s="1"/>
      <c r="FP1472" s="1"/>
      <c r="FQ1472" s="1"/>
      <c r="FR1472" s="1"/>
      <c r="FS1472" s="1"/>
      <c r="FT1472" s="1"/>
      <c r="FU1472" s="1"/>
      <c r="FV1472" s="1"/>
      <c r="FW1472" s="1"/>
      <c r="FX1472" s="1"/>
      <c r="FY1472" s="1"/>
      <c r="FZ1472" s="1"/>
      <c r="GA1472" s="1"/>
      <c r="GB1472" s="1"/>
      <c r="GC1472" s="1"/>
      <c r="GD1472" s="1"/>
      <c r="GE1472" s="1"/>
      <c r="GF1472" s="1"/>
      <c r="GG1472" s="1"/>
      <c r="GH1472" s="1"/>
      <c r="GI1472" s="1"/>
      <c r="GJ1472" s="1"/>
      <c r="GK1472" s="1"/>
      <c r="GL1472" s="1"/>
      <c r="GM1472" s="1"/>
      <c r="GN1472" s="1"/>
      <c r="GO1472" s="1"/>
      <c r="GP1472" s="1"/>
      <c r="GQ1472" s="1"/>
      <c r="GR1472" s="1"/>
      <c r="GS1472" s="1"/>
      <c r="GT1472" s="1"/>
      <c r="GU1472" s="1"/>
      <c r="GV1472" s="1"/>
      <c r="GW1472" s="1"/>
      <c r="GX1472" s="1"/>
      <c r="GY1472" s="1"/>
      <c r="GZ1472" s="1"/>
      <c r="HA1472" s="1"/>
      <c r="HB1472" s="1"/>
      <c r="HC1472" s="1"/>
      <c r="HD1472" s="1"/>
      <c r="HE1472" s="1"/>
      <c r="HF1472" s="1"/>
      <c r="HG1472" s="1"/>
      <c r="HH1472" s="1"/>
      <c r="HI1472" s="1"/>
      <c r="HJ1472" s="1"/>
      <c r="HK1472" s="1"/>
      <c r="HL1472" s="1"/>
      <c r="HM1472" s="1"/>
      <c r="HN1472" s="1"/>
      <c r="HO1472" s="1"/>
      <c r="HP1472" s="1"/>
      <c r="HQ1472" s="1"/>
      <c r="HR1472" s="1"/>
      <c r="HS1472" s="1"/>
      <c r="HT1472" s="1"/>
      <c r="HU1472" s="1"/>
      <c r="HV1472" s="1"/>
      <c r="HW1472" s="1"/>
      <c r="HX1472" s="1"/>
      <c r="HY1472" s="1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  <c r="IU1472" s="1"/>
      <c r="IV1472" s="1"/>
      <c r="IW1472" s="1"/>
      <c r="IX1472" s="1"/>
      <c r="IY1472" s="1"/>
      <c r="IZ1472" s="1"/>
      <c r="JA1472" s="1"/>
      <c r="JB1472" s="1"/>
      <c r="JC1472" s="1"/>
      <c r="JD1472" s="1"/>
      <c r="JE1472" s="1"/>
      <c r="JF1472" s="1"/>
      <c r="JG1472" s="1"/>
      <c r="JH1472" s="1"/>
      <c r="JI1472" s="1"/>
      <c r="JJ1472" s="1"/>
      <c r="JK1472" s="1"/>
      <c r="JL1472" s="1"/>
      <c r="JM1472" s="1"/>
      <c r="JN1472" s="1"/>
      <c r="JO1472" s="1"/>
      <c r="JP1472" s="1"/>
      <c r="JQ1472" s="1"/>
      <c r="JR1472" s="1"/>
      <c r="JS1472" s="1"/>
      <c r="JT1472" s="1"/>
      <c r="JU1472" s="1"/>
      <c r="JV1472" s="1"/>
      <c r="JW1472" s="1"/>
      <c r="JX1472" s="1"/>
      <c r="JY1472" s="1"/>
      <c r="JZ1472" s="1"/>
      <c r="KA1472" s="1"/>
      <c r="KB1472" s="1"/>
      <c r="KC1472" s="1"/>
      <c r="KD1472" s="1"/>
      <c r="KE1472" s="1"/>
      <c r="KF1472" s="1"/>
      <c r="KG1472" s="1"/>
      <c r="KH1472" s="1"/>
      <c r="KI1472" s="1"/>
      <c r="KJ1472" s="1"/>
      <c r="KK1472" s="1"/>
      <c r="KL1472" s="1"/>
      <c r="KM1472" s="1"/>
      <c r="KN1472" s="1"/>
      <c r="KO1472" s="1"/>
      <c r="KP1472" s="1"/>
      <c r="KQ1472" s="1"/>
      <c r="KR1472" s="1"/>
      <c r="KS1472" s="1"/>
      <c r="KT1472" s="1"/>
      <c r="KU1472" s="1"/>
      <c r="KV1472" s="1"/>
      <c r="KW1472" s="1"/>
      <c r="KX1472" s="1"/>
      <c r="KY1472" s="1"/>
      <c r="KZ1472" s="1"/>
      <c r="LA1472" s="1"/>
      <c r="LB1472" s="1"/>
      <c r="LC1472" s="1"/>
      <c r="LD1472" s="1"/>
      <c r="LE1472" s="1"/>
      <c r="LF1472" s="1"/>
      <c r="LG1472" s="1"/>
      <c r="LH1472" s="1"/>
      <c r="LI1472" s="1"/>
      <c r="LJ1472" s="1"/>
      <c r="LK1472" s="1"/>
      <c r="LL1472" s="1"/>
      <c r="LM1472" s="1"/>
      <c r="LN1472" s="1"/>
      <c r="LO1472" s="1"/>
      <c r="LP1472" s="1"/>
      <c r="LQ1472" s="1"/>
      <c r="LR1472" s="1"/>
      <c r="LS1472" s="1"/>
      <c r="LT1472" s="1"/>
      <c r="LU1472" s="1"/>
      <c r="LV1472" s="1"/>
      <c r="LW1472" s="1"/>
      <c r="LX1472" s="1"/>
      <c r="LY1472" s="1"/>
      <c r="LZ1472" s="1"/>
      <c r="MA1472" s="1"/>
      <c r="MB1472" s="1"/>
      <c r="MC1472" s="1"/>
      <c r="MD1472" s="1"/>
      <c r="ME1472" s="1"/>
      <c r="MF1472" s="1"/>
      <c r="MG1472" s="1"/>
      <c r="MH1472" s="1"/>
      <c r="MI1472" s="1"/>
      <c r="MJ1472" s="1"/>
      <c r="MK1472" s="1"/>
      <c r="ML1472" s="1"/>
      <c r="MM1472" s="1"/>
      <c r="MN1472" s="1"/>
      <c r="MO1472" s="1"/>
      <c r="MP1472" s="1"/>
      <c r="MQ1472" s="1"/>
      <c r="MR1472" s="1"/>
      <c r="MS1472" s="1"/>
      <c r="MT1472" s="1"/>
      <c r="MU1472" s="1"/>
      <c r="MV1472" s="1"/>
      <c r="MW1472" s="1"/>
      <c r="MX1472" s="1"/>
      <c r="MY1472" s="1"/>
      <c r="MZ1472" s="1"/>
      <c r="NA1472" s="1"/>
      <c r="NB1472" s="1"/>
      <c r="NC1472" s="1"/>
      <c r="ND1472" s="1"/>
      <c r="NE1472" s="1"/>
      <c r="NF1472" s="1"/>
      <c r="NG1472" s="1"/>
      <c r="NH1472" s="1"/>
      <c r="NI1472" s="1"/>
      <c r="NJ1472" s="1"/>
      <c r="NK1472" s="1"/>
      <c r="NL1472" s="1"/>
      <c r="NM1472" s="1"/>
      <c r="NN1472" s="1"/>
      <c r="NO1472" s="1"/>
      <c r="NP1472" s="1"/>
      <c r="NQ1472" s="1"/>
      <c r="NR1472" s="1"/>
      <c r="NS1472" s="1"/>
      <c r="NT1472" s="1"/>
      <c r="NU1472" s="1"/>
      <c r="NV1472" s="1"/>
      <c r="NW1472" s="1"/>
      <c r="NX1472" s="1"/>
      <c r="NY1472" s="1"/>
      <c r="NZ1472" s="1"/>
      <c r="OA1472" s="1"/>
      <c r="OB1472" s="1"/>
      <c r="OC1472" s="1"/>
      <c r="OD1472" s="1"/>
      <c r="OE1472" s="1"/>
      <c r="OF1472" s="1"/>
      <c r="OG1472" s="1"/>
      <c r="OH1472" s="1"/>
      <c r="OI1472" s="1"/>
      <c r="OJ1472" s="1"/>
      <c r="OK1472" s="1"/>
      <c r="OL1472" s="1"/>
      <c r="OM1472" s="1"/>
      <c r="ON1472" s="1"/>
      <c r="OO1472" s="1"/>
      <c r="OP1472" s="1"/>
      <c r="OQ1472" s="1"/>
      <c r="OR1472" s="1"/>
      <c r="OS1472" s="1"/>
      <c r="OT1472" s="1"/>
      <c r="OU1472" s="1"/>
      <c r="OV1472" s="1"/>
      <c r="OW1472" s="1"/>
      <c r="OX1472" s="1"/>
      <c r="OY1472" s="1"/>
      <c r="OZ1472" s="1"/>
      <c r="PA1472" s="1"/>
      <c r="PB1472" s="1"/>
      <c r="PC1472" s="1"/>
      <c r="PD1472" s="1"/>
      <c r="PE1472" s="1"/>
      <c r="PF1472" s="1"/>
      <c r="PG1472" s="1"/>
      <c r="PH1472" s="1"/>
      <c r="PI1472" s="1"/>
      <c r="PJ1472" s="1"/>
      <c r="PK1472" s="1"/>
      <c r="PL1472" s="1"/>
      <c r="PM1472" s="1"/>
      <c r="PN1472" s="1"/>
      <c r="PO1472" s="1"/>
      <c r="PP1472" s="1"/>
      <c r="PQ1472" s="1"/>
      <c r="PR1472" s="1"/>
      <c r="PS1472" s="1"/>
      <c r="PT1472" s="1"/>
      <c r="PU1472" s="1"/>
      <c r="PV1472" s="1"/>
      <c r="PW1472" s="1"/>
      <c r="PX1472" s="1"/>
      <c r="PY1472" s="1"/>
      <c r="PZ1472" s="1"/>
      <c r="QA1472" s="1"/>
      <c r="QB1472" s="1"/>
      <c r="QC1472" s="1"/>
      <c r="QD1472" s="1"/>
      <c r="QE1472" s="1"/>
      <c r="QF1472" s="1"/>
      <c r="QG1472" s="1"/>
      <c r="QH1472" s="1"/>
      <c r="QI1472" s="1"/>
      <c r="QJ1472" s="1"/>
      <c r="QK1472" s="1"/>
      <c r="QL1472" s="1"/>
      <c r="QM1472" s="1"/>
      <c r="QN1472" s="1"/>
      <c r="QO1472" s="1"/>
      <c r="QP1472" s="1"/>
      <c r="QQ1472" s="1"/>
      <c r="QR1472" s="1"/>
      <c r="QS1472" s="1"/>
      <c r="QT1472" s="1"/>
      <c r="QU1472" s="1"/>
      <c r="QV1472" s="1"/>
      <c r="QW1472" s="1"/>
      <c r="QX1472" s="1"/>
      <c r="QY1472" s="1"/>
      <c r="QZ1472" s="1"/>
      <c r="RA1472" s="1"/>
      <c r="RB1472" s="1"/>
      <c r="RC1472" s="1"/>
      <c r="RD1472" s="1"/>
      <c r="RE1472" s="1"/>
      <c r="RF1472" s="1"/>
      <c r="RG1472" s="1"/>
      <c r="RH1472" s="1"/>
      <c r="RI1472" s="1"/>
      <c r="RJ1472" s="1"/>
      <c r="RK1472" s="1"/>
      <c r="RL1472" s="1"/>
      <c r="RM1472" s="1"/>
      <c r="RN1472" s="1"/>
      <c r="RO1472" s="1"/>
      <c r="RP1472" s="1"/>
      <c r="RQ1472" s="1"/>
      <c r="RR1472" s="1"/>
      <c r="RS1472" s="1"/>
      <c r="RT1472" s="1"/>
      <c r="RU1472" s="1"/>
      <c r="RV1472" s="1"/>
      <c r="RW1472" s="1"/>
      <c r="RX1472" s="1"/>
      <c r="RY1472" s="1"/>
      <c r="RZ1472" s="1"/>
      <c r="SA1472" s="1"/>
      <c r="SB1472" s="1"/>
      <c r="SC1472" s="1"/>
      <c r="SD1472" s="1"/>
      <c r="SE1472" s="1"/>
      <c r="SF1472" s="1"/>
      <c r="SG1472" s="1"/>
      <c r="SH1472" s="1"/>
      <c r="SI1472" s="1"/>
      <c r="SJ1472" s="1"/>
      <c r="SK1472" s="1"/>
      <c r="SL1472" s="1"/>
      <c r="SM1472" s="1"/>
      <c r="SN1472" s="1"/>
      <c r="SO1472" s="1"/>
      <c r="SP1472" s="1"/>
      <c r="SQ1472" s="1"/>
      <c r="SR1472" s="1"/>
      <c r="SS1472" s="1"/>
      <c r="ST1472" s="1"/>
      <c r="SU1472" s="1"/>
      <c r="SV1472" s="1"/>
      <c r="SW1472" s="1"/>
      <c r="SX1472" s="1"/>
      <c r="SY1472" s="1"/>
      <c r="SZ1472" s="1"/>
      <c r="TA1472" s="1"/>
      <c r="TB1472" s="1"/>
      <c r="TC1472" s="1"/>
      <c r="TD1472" s="1"/>
      <c r="TE1472" s="1"/>
      <c r="TF1472" s="1"/>
      <c r="TG1472" s="1"/>
      <c r="TH1472" s="1"/>
      <c r="TI1472" s="1"/>
      <c r="TJ1472" s="1"/>
      <c r="TK1472" s="1"/>
      <c r="TL1472" s="1"/>
      <c r="TM1472" s="1"/>
      <c r="TN1472" s="1"/>
      <c r="TO1472" s="1"/>
      <c r="TP1472" s="1"/>
      <c r="TQ1472" s="1"/>
      <c r="TR1472" s="1"/>
      <c r="TS1472" s="1"/>
      <c r="TT1472" s="1"/>
      <c r="TU1472" s="1"/>
      <c r="TV1472" s="1"/>
      <c r="TW1472" s="1"/>
      <c r="TX1472" s="1"/>
      <c r="TY1472" s="1"/>
      <c r="TZ1472" s="1"/>
      <c r="UA1472" s="1"/>
      <c r="UB1472" s="1"/>
      <c r="UC1472" s="1"/>
      <c r="UD1472" s="1"/>
      <c r="UE1472" s="1"/>
      <c r="UF1472" s="1"/>
      <c r="UG1472" s="1"/>
      <c r="UH1472" s="1"/>
      <c r="UI1472" s="1"/>
      <c r="UJ1472" s="1"/>
      <c r="UK1472" s="1"/>
      <c r="UL1472" s="1"/>
      <c r="UM1472" s="1"/>
      <c r="UN1472" s="1"/>
      <c r="UO1472" s="1"/>
      <c r="UP1472" s="1"/>
      <c r="UQ1472" s="1"/>
      <c r="UR1472" s="1"/>
      <c r="US1472" s="1"/>
      <c r="UT1472" s="1"/>
      <c r="UU1472" s="1"/>
      <c r="UV1472" s="1"/>
      <c r="UW1472" s="1"/>
      <c r="UX1472" s="1"/>
      <c r="UY1472" s="1"/>
      <c r="UZ1472" s="1"/>
      <c r="VA1472" s="1"/>
      <c r="VB1472" s="1"/>
      <c r="VC1472" s="1"/>
      <c r="VD1472" s="1"/>
      <c r="VE1472" s="1"/>
      <c r="VF1472" s="1"/>
      <c r="VG1472" s="1"/>
      <c r="VH1472" s="1"/>
      <c r="VI1472" s="1"/>
      <c r="VJ1472" s="1"/>
      <c r="VK1472" s="1"/>
      <c r="VL1472" s="1"/>
      <c r="VM1472" s="1"/>
      <c r="VN1472" s="1"/>
      <c r="VO1472" s="1"/>
      <c r="VP1472" s="1"/>
      <c r="VQ1472" s="1"/>
      <c r="VR1472" s="1"/>
      <c r="VS1472" s="1"/>
      <c r="VT1472" s="1"/>
      <c r="VU1472" s="1"/>
      <c r="VV1472" s="1"/>
      <c r="VW1472" s="1"/>
      <c r="VX1472" s="1"/>
      <c r="VY1472" s="1"/>
      <c r="VZ1472" s="1"/>
      <c r="WA1472" s="1"/>
      <c r="WB1472" s="1"/>
      <c r="WC1472" s="1"/>
      <c r="WD1472" s="1"/>
      <c r="WE1472" s="1"/>
      <c r="WF1472" s="1"/>
      <c r="WG1472" s="1"/>
      <c r="WH1472" s="1"/>
      <c r="WI1472" s="1"/>
      <c r="WJ1472" s="1"/>
      <c r="WK1472" s="1"/>
      <c r="WL1472" s="1"/>
      <c r="WM1472" s="1"/>
      <c r="WN1472" s="1"/>
      <c r="WO1472" s="1"/>
      <c r="WP1472" s="1"/>
      <c r="WQ1472" s="1"/>
      <c r="WR1472" s="1"/>
      <c r="WS1472" s="1"/>
      <c r="WT1472" s="1"/>
      <c r="WU1472" s="1"/>
      <c r="WV1472" s="1"/>
      <c r="WW1472" s="1"/>
      <c r="WX1472" s="1"/>
      <c r="WY1472" s="1"/>
      <c r="WZ1472" s="1"/>
      <c r="XA1472" s="1"/>
      <c r="XB1472" s="1"/>
      <c r="XC1472" s="1"/>
      <c r="XD1472" s="1"/>
      <c r="XE1472" s="1"/>
      <c r="XF1472" s="1"/>
      <c r="XG1472" s="1"/>
      <c r="XH1472" s="1"/>
      <c r="XI1472" s="1"/>
      <c r="XJ1472" s="1"/>
      <c r="XK1472" s="1"/>
      <c r="XL1472" s="1"/>
      <c r="XM1472" s="1"/>
      <c r="XN1472" s="1"/>
      <c r="XO1472" s="1"/>
      <c r="XP1472" s="1"/>
      <c r="XQ1472" s="1"/>
      <c r="XR1472" s="1"/>
      <c r="XS1472" s="1"/>
      <c r="XT1472" s="1"/>
      <c r="XU1472" s="1"/>
      <c r="XV1472" s="1"/>
      <c r="XW1472" s="1"/>
      <c r="XX1472" s="1"/>
      <c r="XY1472" s="1"/>
      <c r="XZ1472" s="1"/>
      <c r="YA1472" s="1"/>
      <c r="YB1472" s="1"/>
      <c r="YC1472" s="1"/>
      <c r="YD1472" s="1"/>
      <c r="YE1472" s="1"/>
      <c r="YF1472" s="1"/>
      <c r="YG1472" s="1"/>
      <c r="YH1472" s="1"/>
      <c r="YI1472" s="1"/>
      <c r="YJ1472" s="1"/>
      <c r="YK1472" s="1"/>
      <c r="YL1472" s="1"/>
      <c r="YM1472" s="1"/>
      <c r="YN1472" s="1"/>
      <c r="YO1472" s="1"/>
      <c r="YP1472" s="1"/>
      <c r="YQ1472" s="1"/>
      <c r="YR1472" s="1"/>
      <c r="YS1472" s="1"/>
      <c r="YT1472" s="1"/>
      <c r="YU1472" s="1"/>
      <c r="YV1472" s="1"/>
      <c r="YW1472" s="1"/>
      <c r="YX1472" s="1"/>
      <c r="YY1472" s="1"/>
      <c r="YZ1472" s="1"/>
      <c r="ZA1472" s="1"/>
      <c r="ZB1472" s="1"/>
      <c r="ZC1472" s="1"/>
      <c r="ZD1472" s="1"/>
      <c r="ZE1472" s="1"/>
      <c r="ZF1472" s="1"/>
      <c r="ZG1472" s="1"/>
      <c r="ZH1472" s="1"/>
      <c r="ZI1472" s="1"/>
      <c r="ZJ1472" s="1"/>
      <c r="ZK1472" s="1"/>
      <c r="ZL1472" s="1"/>
      <c r="ZM1472" s="1"/>
      <c r="ZN1472" s="1"/>
      <c r="ZO1472" s="1"/>
      <c r="ZP1472" s="1"/>
      <c r="ZQ1472" s="1"/>
      <c r="ZR1472" s="1"/>
      <c r="ZS1472" s="1"/>
      <c r="ZT1472" s="1"/>
      <c r="ZU1472" s="1"/>
      <c r="ZV1472" s="1"/>
      <c r="ZW1472" s="1"/>
      <c r="ZX1472" s="1"/>
      <c r="ZY1472" s="1"/>
      <c r="ZZ1472" s="1"/>
      <c r="AAA1472" s="1"/>
      <c r="AAB1472" s="1"/>
      <c r="AAC1472" s="1"/>
      <c r="AAD1472" s="1"/>
      <c r="AAE1472" s="1"/>
      <c r="AAF1472" s="1"/>
      <c r="AAG1472" s="1"/>
      <c r="AAH1472" s="1"/>
      <c r="AAI1472" s="1"/>
      <c r="AAJ1472" s="1"/>
      <c r="AAK1472" s="1"/>
      <c r="AAL1472" s="1"/>
      <c r="AAM1472" s="1"/>
      <c r="AAN1472" s="1"/>
      <c r="AAO1472" s="1"/>
      <c r="AAP1472" s="1"/>
      <c r="AAQ1472" s="1"/>
      <c r="AAR1472" s="1"/>
      <c r="AAS1472" s="1"/>
      <c r="AAT1472" s="1"/>
      <c r="AAU1472" s="1"/>
      <c r="AAV1472" s="1"/>
      <c r="AAW1472" s="1"/>
      <c r="AAX1472" s="1"/>
      <c r="AAY1472" s="1"/>
      <c r="AAZ1472" s="1"/>
      <c r="ABA1472" s="1"/>
      <c r="ABB1472" s="1"/>
      <c r="ABC1472" s="1"/>
      <c r="ABD1472" s="1"/>
      <c r="ABE1472" s="1"/>
      <c r="ABF1472" s="1"/>
      <c r="ABG1472" s="1"/>
      <c r="ABH1472" s="1"/>
      <c r="ABI1472" s="1"/>
      <c r="ABJ1472" s="1"/>
      <c r="ABK1472" s="1"/>
      <c r="ABL1472" s="1"/>
      <c r="ABM1472" s="1"/>
      <c r="ABN1472" s="1"/>
      <c r="ABO1472" s="1"/>
      <c r="ABP1472" s="1"/>
      <c r="ABQ1472" s="1"/>
      <c r="ABR1472" s="1"/>
      <c r="ABS1472" s="1"/>
      <c r="ABT1472" s="1"/>
      <c r="ABU1472" s="1"/>
      <c r="ABV1472" s="1"/>
      <c r="ABW1472" s="1"/>
      <c r="ABX1472" s="1"/>
      <c r="ABY1472" s="1"/>
      <c r="ABZ1472" s="1"/>
      <c r="ACA1472" s="1"/>
      <c r="ACB1472" s="1"/>
      <c r="ACC1472" s="1"/>
      <c r="ACD1472" s="1"/>
      <c r="ACE1472" s="1"/>
      <c r="ACF1472" s="1"/>
      <c r="ACG1472" s="1"/>
      <c r="ACH1472" s="1"/>
      <c r="ACI1472" s="1"/>
      <c r="ACJ1472" s="1"/>
      <c r="ACK1472" s="1"/>
      <c r="ACL1472" s="1"/>
      <c r="ACM1472" s="1"/>
      <c r="ACN1472" s="1"/>
      <c r="ACO1472" s="1"/>
      <c r="ACP1472" s="1"/>
      <c r="ACQ1472" s="1"/>
      <c r="ACR1472" s="1"/>
      <c r="ACS1472" s="1"/>
      <c r="ACT1472" s="1"/>
      <c r="ACU1472" s="1"/>
      <c r="ACV1472" s="1"/>
      <c r="ACW1472" s="1"/>
      <c r="ACX1472" s="1"/>
      <c r="ACY1472" s="1"/>
      <c r="ACZ1472" s="1"/>
      <c r="ADA1472" s="1"/>
      <c r="ADB1472" s="1"/>
      <c r="ADC1472" s="1"/>
      <c r="ADD1472" s="1"/>
      <c r="ADE1472" s="1"/>
      <c r="ADF1472" s="1"/>
      <c r="ADG1472" s="1"/>
      <c r="ADH1472" s="1"/>
      <c r="ADI1472" s="1"/>
      <c r="ADJ1472" s="1"/>
      <c r="ADK1472" s="1"/>
      <c r="ADL1472" s="1"/>
      <c r="ADM1472" s="1"/>
      <c r="ADN1472" s="1"/>
      <c r="ADO1472" s="1"/>
      <c r="ADP1472" s="1"/>
      <c r="ADQ1472" s="1"/>
      <c r="ADR1472" s="1"/>
      <c r="ADS1472" s="1"/>
      <c r="ADT1472" s="1"/>
      <c r="ADU1472" s="1"/>
      <c r="ADV1472" s="1"/>
      <c r="ADW1472" s="1"/>
      <c r="ADX1472" s="1"/>
      <c r="ADY1472" s="1"/>
      <c r="ADZ1472" s="1"/>
      <c r="AEA1472" s="1"/>
      <c r="AEB1472" s="1"/>
      <c r="AEC1472" s="1"/>
      <c r="AED1472" s="1"/>
      <c r="AEE1472" s="1"/>
      <c r="AEF1472" s="1"/>
      <c r="AEG1472" s="1"/>
      <c r="AEH1472" s="1"/>
      <c r="AEI1472" s="1"/>
      <c r="AEJ1472" s="1"/>
      <c r="AEK1472" s="1"/>
      <c r="AEL1472" s="1"/>
      <c r="AEM1472" s="1"/>
      <c r="AEN1472" s="1"/>
      <c r="AEO1472" s="1"/>
      <c r="AEP1472" s="1"/>
      <c r="AEQ1472" s="1"/>
      <c r="AER1472" s="1"/>
      <c r="AES1472" s="1"/>
      <c r="AET1472" s="1"/>
      <c r="AEU1472" s="1"/>
      <c r="AEV1472" s="1"/>
      <c r="AEW1472" s="1"/>
      <c r="AEX1472" s="1"/>
      <c r="AEY1472" s="1"/>
      <c r="AEZ1472" s="1"/>
      <c r="AFA1472" s="1"/>
      <c r="AFB1472" s="1"/>
      <c r="AFC1472" s="1"/>
      <c r="AFD1472" s="1"/>
      <c r="AFE1472" s="1"/>
      <c r="AFF1472" s="1"/>
      <c r="AFG1472" s="1"/>
      <c r="AFH1472" s="1"/>
      <c r="AFI1472" s="1"/>
      <c r="AFJ1472" s="1"/>
      <c r="AFK1472" s="1"/>
      <c r="AFL1472" s="1"/>
      <c r="AFM1472" s="1"/>
      <c r="AFN1472" s="1"/>
      <c r="AFO1472" s="1"/>
      <c r="AFP1472" s="1"/>
      <c r="AFQ1472" s="1"/>
      <c r="AFR1472" s="1"/>
      <c r="AFS1472" s="1"/>
      <c r="AFT1472" s="1"/>
      <c r="AFU1472" s="1"/>
      <c r="AFV1472" s="1"/>
      <c r="AFW1472" s="1"/>
      <c r="AFX1472" s="1"/>
      <c r="AFY1472" s="1"/>
      <c r="AFZ1472" s="1"/>
      <c r="AGA1472" s="1"/>
      <c r="AGB1472" s="1"/>
      <c r="AGC1472" s="1"/>
      <c r="AGD1472" s="1"/>
      <c r="AGE1472" s="1"/>
      <c r="AGF1472" s="1"/>
      <c r="AGG1472" s="1"/>
      <c r="AGH1472" s="1"/>
      <c r="AGI1472" s="1"/>
      <c r="AGJ1472" s="1"/>
      <c r="AGK1472" s="1"/>
      <c r="AGL1472" s="1"/>
      <c r="AGM1472" s="1"/>
      <c r="AGN1472" s="1"/>
      <c r="AGO1472" s="1"/>
      <c r="AGP1472" s="1"/>
      <c r="AGQ1472" s="1"/>
      <c r="AGR1472" s="1"/>
      <c r="AGS1472" s="1"/>
      <c r="AGT1472" s="1"/>
      <c r="AGU1472" s="1"/>
      <c r="AGV1472" s="1"/>
      <c r="AGW1472" s="1"/>
      <c r="AGX1472" s="1"/>
      <c r="AGY1472" s="1"/>
      <c r="AGZ1472" s="1"/>
      <c r="AHA1472" s="1"/>
      <c r="AHB1472" s="1"/>
      <c r="AHC1472" s="1"/>
      <c r="AHD1472" s="1"/>
      <c r="AHE1472" s="1"/>
      <c r="AHF1472" s="1"/>
      <c r="AHG1472" s="1"/>
      <c r="AHH1472" s="1"/>
      <c r="AHI1472" s="1"/>
      <c r="AHJ1472" s="1"/>
      <c r="AHK1472" s="1"/>
      <c r="AHL1472" s="1"/>
      <c r="AHM1472" s="1"/>
      <c r="AHN1472" s="1"/>
      <c r="AHO1472" s="1"/>
      <c r="AHP1472" s="1"/>
      <c r="AHQ1472" s="1"/>
      <c r="AHR1472" s="1"/>
      <c r="AHS1472" s="1"/>
      <c r="AHT1472" s="1"/>
      <c r="AHU1472" s="1"/>
      <c r="AHV1472" s="1"/>
      <c r="AHW1472" s="1"/>
      <c r="AHX1472" s="1"/>
      <c r="AHY1472" s="1"/>
      <c r="AHZ1472" s="1"/>
      <c r="AIA1472" s="1"/>
      <c r="AIB1472" s="1"/>
      <c r="AIC1472" s="1"/>
      <c r="AID1472" s="1"/>
      <c r="AIE1472" s="1"/>
      <c r="AIF1472" s="1"/>
      <c r="AIG1472" s="1"/>
      <c r="AIH1472" s="1"/>
      <c r="AII1472" s="1"/>
      <c r="AIJ1472" s="1"/>
      <c r="AIK1472" s="1"/>
      <c r="AIL1472" s="1"/>
      <c r="AIM1472" s="1"/>
      <c r="AIN1472" s="1"/>
      <c r="AIO1472" s="1"/>
      <c r="AIP1472" s="1"/>
      <c r="AIQ1472" s="1"/>
      <c r="AIR1472" s="1"/>
      <c r="AIS1472" s="1"/>
      <c r="AIT1472" s="1"/>
      <c r="AIU1472" s="1"/>
      <c r="AIV1472" s="1"/>
      <c r="AIW1472" s="1"/>
      <c r="AIX1472" s="1"/>
      <c r="AIY1472" s="1"/>
      <c r="AIZ1472" s="1"/>
      <c r="AJA1472" s="1"/>
      <c r="AJB1472" s="1"/>
      <c r="AJC1472" s="1"/>
      <c r="AJD1472" s="1"/>
      <c r="AJE1472" s="1"/>
      <c r="AJF1472" s="1"/>
      <c r="AJG1472" s="1"/>
      <c r="AJH1472" s="1"/>
      <c r="AJI1472" s="1"/>
      <c r="AJJ1472" s="1"/>
      <c r="AJK1472" s="1"/>
      <c r="AJL1472" s="1"/>
      <c r="AJM1472" s="1"/>
      <c r="AJN1472" s="1"/>
      <c r="AJO1472" s="1"/>
      <c r="AJP1472" s="1"/>
      <c r="AJQ1472" s="1"/>
      <c r="AJR1472" s="1"/>
      <c r="AJS1472" s="1"/>
      <c r="AJT1472" s="1"/>
      <c r="AJU1472" s="1"/>
      <c r="AJV1472" s="1"/>
      <c r="AJW1472" s="1"/>
      <c r="AJX1472" s="1"/>
      <c r="AJY1472" s="1"/>
      <c r="AJZ1472" s="1"/>
      <c r="AKA1472" s="1"/>
      <c r="AKB1472" s="1"/>
      <c r="AKC1472" s="1"/>
      <c r="AKD1472" s="1"/>
      <c r="AKE1472" s="1"/>
      <c r="AKF1472" s="1"/>
      <c r="AKG1472" s="1"/>
      <c r="AKH1472" s="1"/>
      <c r="AKI1472" s="1"/>
      <c r="AKJ1472" s="1"/>
      <c r="AKK1472" s="1"/>
      <c r="AKL1472" s="1"/>
      <c r="AKM1472" s="1"/>
      <c r="AKN1472" s="1"/>
      <c r="AKO1472" s="1"/>
      <c r="AKP1472" s="1"/>
      <c r="AKQ1472" s="1"/>
      <c r="AKR1472" s="1"/>
      <c r="AKS1472" s="1"/>
      <c r="AKT1472" s="1"/>
      <c r="AKU1472" s="1"/>
      <c r="AKV1472" s="1"/>
      <c r="AKW1472" s="1"/>
      <c r="AKX1472" s="1"/>
      <c r="AKY1472" s="1"/>
      <c r="AKZ1472" s="1"/>
      <c r="ALA1472" s="1"/>
      <c r="ALB1472" s="1"/>
      <c r="ALC1472" s="1"/>
      <c r="ALD1472" s="1"/>
      <c r="ALE1472" s="1"/>
      <c r="ALF1472" s="1"/>
      <c r="ALG1472" s="1"/>
      <c r="ALH1472" s="1"/>
      <c r="ALI1472" s="1"/>
      <c r="ALJ1472" s="1"/>
      <c r="ALK1472" s="1"/>
      <c r="ALL1472" s="1"/>
      <c r="ALM1472" s="1"/>
      <c r="ALN1472" s="1"/>
      <c r="ALO1472" s="1"/>
      <c r="ALP1472" s="1"/>
      <c r="ALQ1472" s="1"/>
      <c r="ALR1472" s="1"/>
      <c r="ALS1472" s="1"/>
      <c r="ALT1472" s="1"/>
      <c r="ALU1472" s="1"/>
      <c r="ALV1472" s="1"/>
      <c r="ALW1472" s="1"/>
      <c r="ALX1472" s="1"/>
      <c r="ALY1472" s="1"/>
      <c r="ALZ1472" s="1"/>
      <c r="AMA1472" s="1"/>
      <c r="AMB1472" s="1"/>
      <c r="AMC1472" s="1"/>
      <c r="AMD1472" s="1"/>
      <c r="AME1472" s="1"/>
      <c r="AMF1472" s="1"/>
      <c r="AMG1472" s="1"/>
      <c r="AMH1472" s="1"/>
      <c r="AMI1472" s="1"/>
      <c r="AMJ1472" s="1"/>
      <c r="AMK1472" s="1"/>
    </row>
    <row r="1473" spans="1:1025" s="2" customFormat="1" ht="40.15" hidden="1" customHeight="1" x14ac:dyDescent="0.25">
      <c r="A1473" s="201"/>
      <c r="B1473" s="202"/>
      <c r="C1473" s="202"/>
      <c r="D1473" s="202"/>
      <c r="E1473" s="202"/>
      <c r="F1473" s="202"/>
      <c r="G1473" s="202"/>
      <c r="H1473" s="202"/>
      <c r="I1473" s="203"/>
      <c r="J1473" s="226" t="s">
        <v>999</v>
      </c>
      <c r="K1473" s="227">
        <f t="shared" si="26"/>
        <v>181425</v>
      </c>
      <c r="L1473" s="228" t="s">
        <v>3</v>
      </c>
      <c r="M1473" s="908">
        <f t="shared" si="27"/>
        <v>746.64599999999996</v>
      </c>
      <c r="N1473" s="194"/>
      <c r="O1473" s="55"/>
      <c r="P1473" s="226" t="s">
        <v>999</v>
      </c>
      <c r="Q1473" s="227">
        <f t="shared" si="28"/>
        <v>165000</v>
      </c>
      <c r="R1473" s="228" t="s">
        <v>3</v>
      </c>
      <c r="S1473" s="229">
        <f t="shared" si="29"/>
        <v>1800</v>
      </c>
      <c r="T1473" s="194"/>
      <c r="U1473" s="228"/>
      <c r="V1473" s="226" t="s">
        <v>999</v>
      </c>
      <c r="W1473" s="227">
        <f t="shared" si="30"/>
        <v>171300</v>
      </c>
      <c r="X1473" s="228" t="s">
        <v>3</v>
      </c>
      <c r="Y1473" s="229">
        <f t="shared" si="31"/>
        <v>1839.1</v>
      </c>
      <c r="Z1473" s="194"/>
      <c r="AA1473" s="55"/>
      <c r="AB1473" s="226" t="s">
        <v>999</v>
      </c>
      <c r="AC1473" s="227">
        <f t="shared" si="32"/>
        <v>171300</v>
      </c>
      <c r="AD1473" s="228" t="s">
        <v>3</v>
      </c>
      <c r="AE1473" s="229">
        <f t="shared" si="33"/>
        <v>1869.1</v>
      </c>
      <c r="AF1473" s="194"/>
      <c r="AG1473" s="55"/>
      <c r="AH1473" s="226" t="s">
        <v>999</v>
      </c>
      <c r="AI1473" s="227">
        <f t="shared" si="34"/>
        <v>171300</v>
      </c>
      <c r="AJ1473" s="228" t="s">
        <v>3</v>
      </c>
      <c r="AK1473" s="229">
        <f t="shared" si="35"/>
        <v>1889.1</v>
      </c>
      <c r="AL1473" s="194"/>
      <c r="AM1473" s="55"/>
      <c r="AN1473" s="226" t="s">
        <v>999</v>
      </c>
      <c r="AO1473" s="227">
        <f t="shared" si="36"/>
        <v>171300</v>
      </c>
      <c r="AP1473" s="228" t="s">
        <v>3</v>
      </c>
      <c r="AQ1473" s="229">
        <f t="shared" si="37"/>
        <v>1894.1</v>
      </c>
      <c r="AR1473" s="1170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  <c r="EA1473" s="1"/>
      <c r="EB1473" s="1"/>
      <c r="EC1473" s="1"/>
      <c r="ED1473" s="1"/>
      <c r="EE1473" s="1"/>
      <c r="EF1473" s="1"/>
      <c r="EG1473" s="1"/>
      <c r="EH1473" s="1"/>
      <c r="EI1473" s="1"/>
      <c r="EJ1473" s="1"/>
      <c r="EK1473" s="1"/>
      <c r="EL1473" s="1"/>
      <c r="EM1473" s="1"/>
      <c r="EN1473" s="1"/>
      <c r="EO1473" s="1"/>
      <c r="EP1473" s="1"/>
      <c r="EQ1473" s="1"/>
      <c r="ER1473" s="1"/>
      <c r="ES1473" s="1"/>
      <c r="ET1473" s="1"/>
      <c r="EU1473" s="1"/>
      <c r="EV1473" s="1"/>
      <c r="EW1473" s="1"/>
      <c r="EX1473" s="1"/>
      <c r="EY1473" s="1"/>
      <c r="EZ1473" s="1"/>
      <c r="FA1473" s="1"/>
      <c r="FB1473" s="1"/>
      <c r="FC1473" s="1"/>
      <c r="FD1473" s="1"/>
      <c r="FE1473" s="1"/>
      <c r="FF1473" s="1"/>
      <c r="FG1473" s="1"/>
      <c r="FH1473" s="1"/>
      <c r="FI1473" s="1"/>
      <c r="FJ1473" s="1"/>
      <c r="FK1473" s="1"/>
      <c r="FL1473" s="1"/>
      <c r="FM1473" s="1"/>
      <c r="FN1473" s="1"/>
      <c r="FO1473" s="1"/>
      <c r="FP1473" s="1"/>
      <c r="FQ1473" s="1"/>
      <c r="FR1473" s="1"/>
      <c r="FS1473" s="1"/>
      <c r="FT1473" s="1"/>
      <c r="FU1473" s="1"/>
      <c r="FV1473" s="1"/>
      <c r="FW1473" s="1"/>
      <c r="FX1473" s="1"/>
      <c r="FY1473" s="1"/>
      <c r="FZ1473" s="1"/>
      <c r="GA1473" s="1"/>
      <c r="GB1473" s="1"/>
      <c r="GC1473" s="1"/>
      <c r="GD1473" s="1"/>
      <c r="GE1473" s="1"/>
      <c r="GF1473" s="1"/>
      <c r="GG1473" s="1"/>
      <c r="GH1473" s="1"/>
      <c r="GI1473" s="1"/>
      <c r="GJ1473" s="1"/>
      <c r="GK1473" s="1"/>
      <c r="GL1473" s="1"/>
      <c r="GM1473" s="1"/>
      <c r="GN1473" s="1"/>
      <c r="GO1473" s="1"/>
      <c r="GP1473" s="1"/>
      <c r="GQ1473" s="1"/>
      <c r="GR1473" s="1"/>
      <c r="GS1473" s="1"/>
      <c r="GT1473" s="1"/>
      <c r="GU1473" s="1"/>
      <c r="GV1473" s="1"/>
      <c r="GW1473" s="1"/>
      <c r="GX1473" s="1"/>
      <c r="GY1473" s="1"/>
      <c r="GZ1473" s="1"/>
      <c r="HA1473" s="1"/>
      <c r="HB1473" s="1"/>
      <c r="HC1473" s="1"/>
      <c r="HD1473" s="1"/>
      <c r="HE1473" s="1"/>
      <c r="HF1473" s="1"/>
      <c r="HG1473" s="1"/>
      <c r="HH1473" s="1"/>
      <c r="HI1473" s="1"/>
      <c r="HJ1473" s="1"/>
      <c r="HK1473" s="1"/>
      <c r="HL1473" s="1"/>
      <c r="HM1473" s="1"/>
      <c r="HN1473" s="1"/>
      <c r="HO1473" s="1"/>
      <c r="HP1473" s="1"/>
      <c r="HQ1473" s="1"/>
      <c r="HR1473" s="1"/>
      <c r="HS1473" s="1"/>
      <c r="HT1473" s="1"/>
      <c r="HU1473" s="1"/>
      <c r="HV1473" s="1"/>
      <c r="HW1473" s="1"/>
      <c r="HX1473" s="1"/>
      <c r="HY1473" s="1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  <c r="IU1473" s="1"/>
      <c r="IV1473" s="1"/>
      <c r="IW1473" s="1"/>
      <c r="IX1473" s="1"/>
      <c r="IY1473" s="1"/>
      <c r="IZ1473" s="1"/>
      <c r="JA1473" s="1"/>
      <c r="JB1473" s="1"/>
      <c r="JC1473" s="1"/>
      <c r="JD1473" s="1"/>
      <c r="JE1473" s="1"/>
      <c r="JF1473" s="1"/>
      <c r="JG1473" s="1"/>
      <c r="JH1473" s="1"/>
      <c r="JI1473" s="1"/>
      <c r="JJ1473" s="1"/>
      <c r="JK1473" s="1"/>
      <c r="JL1473" s="1"/>
      <c r="JM1473" s="1"/>
      <c r="JN1473" s="1"/>
      <c r="JO1473" s="1"/>
      <c r="JP1473" s="1"/>
      <c r="JQ1473" s="1"/>
      <c r="JR1473" s="1"/>
      <c r="JS1473" s="1"/>
      <c r="JT1473" s="1"/>
      <c r="JU1473" s="1"/>
      <c r="JV1473" s="1"/>
      <c r="JW1473" s="1"/>
      <c r="JX1473" s="1"/>
      <c r="JY1473" s="1"/>
      <c r="JZ1473" s="1"/>
      <c r="KA1473" s="1"/>
      <c r="KB1473" s="1"/>
      <c r="KC1473" s="1"/>
      <c r="KD1473" s="1"/>
      <c r="KE1473" s="1"/>
      <c r="KF1473" s="1"/>
      <c r="KG1473" s="1"/>
      <c r="KH1473" s="1"/>
      <c r="KI1473" s="1"/>
      <c r="KJ1473" s="1"/>
      <c r="KK1473" s="1"/>
      <c r="KL1473" s="1"/>
      <c r="KM1473" s="1"/>
      <c r="KN1473" s="1"/>
      <c r="KO1473" s="1"/>
      <c r="KP1473" s="1"/>
      <c r="KQ1473" s="1"/>
      <c r="KR1473" s="1"/>
      <c r="KS1473" s="1"/>
      <c r="KT1473" s="1"/>
      <c r="KU1473" s="1"/>
      <c r="KV1473" s="1"/>
      <c r="KW1473" s="1"/>
      <c r="KX1473" s="1"/>
      <c r="KY1473" s="1"/>
      <c r="KZ1473" s="1"/>
      <c r="LA1473" s="1"/>
      <c r="LB1473" s="1"/>
      <c r="LC1473" s="1"/>
      <c r="LD1473" s="1"/>
      <c r="LE1473" s="1"/>
      <c r="LF1473" s="1"/>
      <c r="LG1473" s="1"/>
      <c r="LH1473" s="1"/>
      <c r="LI1473" s="1"/>
      <c r="LJ1473" s="1"/>
      <c r="LK1473" s="1"/>
      <c r="LL1473" s="1"/>
      <c r="LM1473" s="1"/>
      <c r="LN1473" s="1"/>
      <c r="LO1473" s="1"/>
      <c r="LP1473" s="1"/>
      <c r="LQ1473" s="1"/>
      <c r="LR1473" s="1"/>
      <c r="LS1473" s="1"/>
      <c r="LT1473" s="1"/>
      <c r="LU1473" s="1"/>
      <c r="LV1473" s="1"/>
      <c r="LW1473" s="1"/>
      <c r="LX1473" s="1"/>
      <c r="LY1473" s="1"/>
      <c r="LZ1473" s="1"/>
      <c r="MA1473" s="1"/>
      <c r="MB1473" s="1"/>
      <c r="MC1473" s="1"/>
      <c r="MD1473" s="1"/>
      <c r="ME1473" s="1"/>
      <c r="MF1473" s="1"/>
      <c r="MG1473" s="1"/>
      <c r="MH1473" s="1"/>
      <c r="MI1473" s="1"/>
      <c r="MJ1473" s="1"/>
      <c r="MK1473" s="1"/>
      <c r="ML1473" s="1"/>
      <c r="MM1473" s="1"/>
      <c r="MN1473" s="1"/>
      <c r="MO1473" s="1"/>
      <c r="MP1473" s="1"/>
      <c r="MQ1473" s="1"/>
      <c r="MR1473" s="1"/>
      <c r="MS1473" s="1"/>
      <c r="MT1473" s="1"/>
      <c r="MU1473" s="1"/>
      <c r="MV1473" s="1"/>
      <c r="MW1473" s="1"/>
      <c r="MX1473" s="1"/>
      <c r="MY1473" s="1"/>
      <c r="MZ1473" s="1"/>
      <c r="NA1473" s="1"/>
      <c r="NB1473" s="1"/>
      <c r="NC1473" s="1"/>
      <c r="ND1473" s="1"/>
      <c r="NE1473" s="1"/>
      <c r="NF1473" s="1"/>
      <c r="NG1473" s="1"/>
      <c r="NH1473" s="1"/>
      <c r="NI1473" s="1"/>
      <c r="NJ1473" s="1"/>
      <c r="NK1473" s="1"/>
      <c r="NL1473" s="1"/>
      <c r="NM1473" s="1"/>
      <c r="NN1473" s="1"/>
      <c r="NO1473" s="1"/>
      <c r="NP1473" s="1"/>
      <c r="NQ1473" s="1"/>
      <c r="NR1473" s="1"/>
      <c r="NS1473" s="1"/>
      <c r="NT1473" s="1"/>
      <c r="NU1473" s="1"/>
      <c r="NV1473" s="1"/>
      <c r="NW1473" s="1"/>
      <c r="NX1473" s="1"/>
      <c r="NY1473" s="1"/>
      <c r="NZ1473" s="1"/>
      <c r="OA1473" s="1"/>
      <c r="OB1473" s="1"/>
      <c r="OC1473" s="1"/>
      <c r="OD1473" s="1"/>
      <c r="OE1473" s="1"/>
      <c r="OF1473" s="1"/>
      <c r="OG1473" s="1"/>
      <c r="OH1473" s="1"/>
      <c r="OI1473" s="1"/>
      <c r="OJ1473" s="1"/>
      <c r="OK1473" s="1"/>
      <c r="OL1473" s="1"/>
      <c r="OM1473" s="1"/>
      <c r="ON1473" s="1"/>
      <c r="OO1473" s="1"/>
      <c r="OP1473" s="1"/>
      <c r="OQ1473" s="1"/>
      <c r="OR1473" s="1"/>
      <c r="OS1473" s="1"/>
      <c r="OT1473" s="1"/>
      <c r="OU1473" s="1"/>
      <c r="OV1473" s="1"/>
      <c r="OW1473" s="1"/>
      <c r="OX1473" s="1"/>
      <c r="OY1473" s="1"/>
      <c r="OZ1473" s="1"/>
      <c r="PA1473" s="1"/>
      <c r="PB1473" s="1"/>
      <c r="PC1473" s="1"/>
      <c r="PD1473" s="1"/>
      <c r="PE1473" s="1"/>
      <c r="PF1473" s="1"/>
      <c r="PG1473" s="1"/>
      <c r="PH1473" s="1"/>
      <c r="PI1473" s="1"/>
      <c r="PJ1473" s="1"/>
      <c r="PK1473" s="1"/>
      <c r="PL1473" s="1"/>
      <c r="PM1473" s="1"/>
      <c r="PN1473" s="1"/>
      <c r="PO1473" s="1"/>
      <c r="PP1473" s="1"/>
      <c r="PQ1473" s="1"/>
      <c r="PR1473" s="1"/>
      <c r="PS1473" s="1"/>
      <c r="PT1473" s="1"/>
      <c r="PU1473" s="1"/>
      <c r="PV1473" s="1"/>
      <c r="PW1473" s="1"/>
      <c r="PX1473" s="1"/>
      <c r="PY1473" s="1"/>
      <c r="PZ1473" s="1"/>
      <c r="QA1473" s="1"/>
      <c r="QB1473" s="1"/>
      <c r="QC1473" s="1"/>
      <c r="QD1473" s="1"/>
      <c r="QE1473" s="1"/>
      <c r="QF1473" s="1"/>
      <c r="QG1473" s="1"/>
      <c r="QH1473" s="1"/>
      <c r="QI1473" s="1"/>
      <c r="QJ1473" s="1"/>
      <c r="QK1473" s="1"/>
      <c r="QL1473" s="1"/>
      <c r="QM1473" s="1"/>
      <c r="QN1473" s="1"/>
      <c r="QO1473" s="1"/>
      <c r="QP1473" s="1"/>
      <c r="QQ1473" s="1"/>
      <c r="QR1473" s="1"/>
      <c r="QS1473" s="1"/>
      <c r="QT1473" s="1"/>
      <c r="QU1473" s="1"/>
      <c r="QV1473" s="1"/>
      <c r="QW1473" s="1"/>
      <c r="QX1473" s="1"/>
      <c r="QY1473" s="1"/>
      <c r="QZ1473" s="1"/>
      <c r="RA1473" s="1"/>
      <c r="RB1473" s="1"/>
      <c r="RC1473" s="1"/>
      <c r="RD1473" s="1"/>
      <c r="RE1473" s="1"/>
      <c r="RF1473" s="1"/>
      <c r="RG1473" s="1"/>
      <c r="RH1473" s="1"/>
      <c r="RI1473" s="1"/>
      <c r="RJ1473" s="1"/>
      <c r="RK1473" s="1"/>
      <c r="RL1473" s="1"/>
      <c r="RM1473" s="1"/>
      <c r="RN1473" s="1"/>
      <c r="RO1473" s="1"/>
      <c r="RP1473" s="1"/>
      <c r="RQ1473" s="1"/>
      <c r="RR1473" s="1"/>
      <c r="RS1473" s="1"/>
      <c r="RT1473" s="1"/>
      <c r="RU1473" s="1"/>
      <c r="RV1473" s="1"/>
      <c r="RW1473" s="1"/>
      <c r="RX1473" s="1"/>
      <c r="RY1473" s="1"/>
      <c r="RZ1473" s="1"/>
      <c r="SA1473" s="1"/>
      <c r="SB1473" s="1"/>
      <c r="SC1473" s="1"/>
      <c r="SD1473" s="1"/>
      <c r="SE1473" s="1"/>
      <c r="SF1473" s="1"/>
      <c r="SG1473" s="1"/>
      <c r="SH1473" s="1"/>
      <c r="SI1473" s="1"/>
      <c r="SJ1473" s="1"/>
      <c r="SK1473" s="1"/>
      <c r="SL1473" s="1"/>
      <c r="SM1473" s="1"/>
      <c r="SN1473" s="1"/>
      <c r="SO1473" s="1"/>
      <c r="SP1473" s="1"/>
      <c r="SQ1473" s="1"/>
      <c r="SR1473" s="1"/>
      <c r="SS1473" s="1"/>
      <c r="ST1473" s="1"/>
      <c r="SU1473" s="1"/>
      <c r="SV1473" s="1"/>
      <c r="SW1473" s="1"/>
      <c r="SX1473" s="1"/>
      <c r="SY1473" s="1"/>
      <c r="SZ1473" s="1"/>
      <c r="TA1473" s="1"/>
      <c r="TB1473" s="1"/>
      <c r="TC1473" s="1"/>
      <c r="TD1473" s="1"/>
      <c r="TE1473" s="1"/>
      <c r="TF1473" s="1"/>
      <c r="TG1473" s="1"/>
      <c r="TH1473" s="1"/>
      <c r="TI1473" s="1"/>
      <c r="TJ1473" s="1"/>
      <c r="TK1473" s="1"/>
      <c r="TL1473" s="1"/>
      <c r="TM1473" s="1"/>
      <c r="TN1473" s="1"/>
      <c r="TO1473" s="1"/>
      <c r="TP1473" s="1"/>
      <c r="TQ1473" s="1"/>
      <c r="TR1473" s="1"/>
      <c r="TS1473" s="1"/>
      <c r="TT1473" s="1"/>
      <c r="TU1473" s="1"/>
      <c r="TV1473" s="1"/>
      <c r="TW1473" s="1"/>
      <c r="TX1473" s="1"/>
      <c r="TY1473" s="1"/>
      <c r="TZ1473" s="1"/>
      <c r="UA1473" s="1"/>
      <c r="UB1473" s="1"/>
      <c r="UC1473" s="1"/>
      <c r="UD1473" s="1"/>
      <c r="UE1473" s="1"/>
      <c r="UF1473" s="1"/>
      <c r="UG1473" s="1"/>
      <c r="UH1473" s="1"/>
      <c r="UI1473" s="1"/>
      <c r="UJ1473" s="1"/>
      <c r="UK1473" s="1"/>
      <c r="UL1473" s="1"/>
      <c r="UM1473" s="1"/>
      <c r="UN1473" s="1"/>
      <c r="UO1473" s="1"/>
      <c r="UP1473" s="1"/>
      <c r="UQ1473" s="1"/>
      <c r="UR1473" s="1"/>
      <c r="US1473" s="1"/>
      <c r="UT1473" s="1"/>
      <c r="UU1473" s="1"/>
      <c r="UV1473" s="1"/>
      <c r="UW1473" s="1"/>
      <c r="UX1473" s="1"/>
      <c r="UY1473" s="1"/>
      <c r="UZ1473" s="1"/>
      <c r="VA1473" s="1"/>
      <c r="VB1473" s="1"/>
      <c r="VC1473" s="1"/>
      <c r="VD1473" s="1"/>
      <c r="VE1473" s="1"/>
      <c r="VF1473" s="1"/>
      <c r="VG1473" s="1"/>
      <c r="VH1473" s="1"/>
      <c r="VI1473" s="1"/>
      <c r="VJ1473" s="1"/>
      <c r="VK1473" s="1"/>
      <c r="VL1473" s="1"/>
      <c r="VM1473" s="1"/>
      <c r="VN1473" s="1"/>
      <c r="VO1473" s="1"/>
      <c r="VP1473" s="1"/>
      <c r="VQ1473" s="1"/>
      <c r="VR1473" s="1"/>
      <c r="VS1473" s="1"/>
      <c r="VT1473" s="1"/>
      <c r="VU1473" s="1"/>
      <c r="VV1473" s="1"/>
      <c r="VW1473" s="1"/>
      <c r="VX1473" s="1"/>
      <c r="VY1473" s="1"/>
      <c r="VZ1473" s="1"/>
      <c r="WA1473" s="1"/>
      <c r="WB1473" s="1"/>
      <c r="WC1473" s="1"/>
      <c r="WD1473" s="1"/>
      <c r="WE1473" s="1"/>
      <c r="WF1473" s="1"/>
      <c r="WG1473" s="1"/>
      <c r="WH1473" s="1"/>
      <c r="WI1473" s="1"/>
      <c r="WJ1473" s="1"/>
      <c r="WK1473" s="1"/>
      <c r="WL1473" s="1"/>
      <c r="WM1473" s="1"/>
      <c r="WN1473" s="1"/>
      <c r="WO1473" s="1"/>
      <c r="WP1473" s="1"/>
      <c r="WQ1473" s="1"/>
      <c r="WR1473" s="1"/>
      <c r="WS1473" s="1"/>
      <c r="WT1473" s="1"/>
      <c r="WU1473" s="1"/>
      <c r="WV1473" s="1"/>
      <c r="WW1473" s="1"/>
      <c r="WX1473" s="1"/>
      <c r="WY1473" s="1"/>
      <c r="WZ1473" s="1"/>
      <c r="XA1473" s="1"/>
      <c r="XB1473" s="1"/>
      <c r="XC1473" s="1"/>
      <c r="XD1473" s="1"/>
      <c r="XE1473" s="1"/>
      <c r="XF1473" s="1"/>
      <c r="XG1473" s="1"/>
      <c r="XH1473" s="1"/>
      <c r="XI1473" s="1"/>
      <c r="XJ1473" s="1"/>
      <c r="XK1473" s="1"/>
      <c r="XL1473" s="1"/>
      <c r="XM1473" s="1"/>
      <c r="XN1473" s="1"/>
      <c r="XO1473" s="1"/>
      <c r="XP1473" s="1"/>
      <c r="XQ1473" s="1"/>
      <c r="XR1473" s="1"/>
      <c r="XS1473" s="1"/>
      <c r="XT1473" s="1"/>
      <c r="XU1473" s="1"/>
      <c r="XV1473" s="1"/>
      <c r="XW1473" s="1"/>
      <c r="XX1473" s="1"/>
      <c r="XY1473" s="1"/>
      <c r="XZ1473" s="1"/>
      <c r="YA1473" s="1"/>
      <c r="YB1473" s="1"/>
      <c r="YC1473" s="1"/>
      <c r="YD1473" s="1"/>
      <c r="YE1473" s="1"/>
      <c r="YF1473" s="1"/>
      <c r="YG1473" s="1"/>
      <c r="YH1473" s="1"/>
      <c r="YI1473" s="1"/>
      <c r="YJ1473" s="1"/>
      <c r="YK1473" s="1"/>
      <c r="YL1473" s="1"/>
      <c r="YM1473" s="1"/>
      <c r="YN1473" s="1"/>
      <c r="YO1473" s="1"/>
      <c r="YP1473" s="1"/>
      <c r="YQ1473" s="1"/>
      <c r="YR1473" s="1"/>
      <c r="YS1473" s="1"/>
      <c r="YT1473" s="1"/>
      <c r="YU1473" s="1"/>
      <c r="YV1473" s="1"/>
      <c r="YW1473" s="1"/>
      <c r="YX1473" s="1"/>
      <c r="YY1473" s="1"/>
      <c r="YZ1473" s="1"/>
      <c r="ZA1473" s="1"/>
      <c r="ZB1473" s="1"/>
      <c r="ZC1473" s="1"/>
      <c r="ZD1473" s="1"/>
      <c r="ZE1473" s="1"/>
      <c r="ZF1473" s="1"/>
      <c r="ZG1473" s="1"/>
      <c r="ZH1473" s="1"/>
      <c r="ZI1473" s="1"/>
      <c r="ZJ1473" s="1"/>
      <c r="ZK1473" s="1"/>
      <c r="ZL1473" s="1"/>
      <c r="ZM1473" s="1"/>
      <c r="ZN1473" s="1"/>
      <c r="ZO1473" s="1"/>
      <c r="ZP1473" s="1"/>
      <c r="ZQ1473" s="1"/>
      <c r="ZR1473" s="1"/>
      <c r="ZS1473" s="1"/>
      <c r="ZT1473" s="1"/>
      <c r="ZU1473" s="1"/>
      <c r="ZV1473" s="1"/>
      <c r="ZW1473" s="1"/>
      <c r="ZX1473" s="1"/>
      <c r="ZY1473" s="1"/>
      <c r="ZZ1473" s="1"/>
      <c r="AAA1473" s="1"/>
      <c r="AAB1473" s="1"/>
      <c r="AAC1473" s="1"/>
      <c r="AAD1473" s="1"/>
      <c r="AAE1473" s="1"/>
      <c r="AAF1473" s="1"/>
      <c r="AAG1473" s="1"/>
      <c r="AAH1473" s="1"/>
      <c r="AAI1473" s="1"/>
      <c r="AAJ1473" s="1"/>
      <c r="AAK1473" s="1"/>
      <c r="AAL1473" s="1"/>
      <c r="AAM1473" s="1"/>
      <c r="AAN1473" s="1"/>
      <c r="AAO1473" s="1"/>
      <c r="AAP1473" s="1"/>
      <c r="AAQ1473" s="1"/>
      <c r="AAR1473" s="1"/>
      <c r="AAS1473" s="1"/>
      <c r="AAT1473" s="1"/>
      <c r="AAU1473" s="1"/>
      <c r="AAV1473" s="1"/>
      <c r="AAW1473" s="1"/>
      <c r="AAX1473" s="1"/>
      <c r="AAY1473" s="1"/>
      <c r="AAZ1473" s="1"/>
      <c r="ABA1473" s="1"/>
      <c r="ABB1473" s="1"/>
      <c r="ABC1473" s="1"/>
      <c r="ABD1473" s="1"/>
      <c r="ABE1473" s="1"/>
      <c r="ABF1473" s="1"/>
      <c r="ABG1473" s="1"/>
      <c r="ABH1473" s="1"/>
      <c r="ABI1473" s="1"/>
      <c r="ABJ1473" s="1"/>
      <c r="ABK1473" s="1"/>
      <c r="ABL1473" s="1"/>
      <c r="ABM1473" s="1"/>
      <c r="ABN1473" s="1"/>
      <c r="ABO1473" s="1"/>
      <c r="ABP1473" s="1"/>
      <c r="ABQ1473" s="1"/>
      <c r="ABR1473" s="1"/>
      <c r="ABS1473" s="1"/>
      <c r="ABT1473" s="1"/>
      <c r="ABU1473" s="1"/>
      <c r="ABV1473" s="1"/>
      <c r="ABW1473" s="1"/>
      <c r="ABX1473" s="1"/>
      <c r="ABY1473" s="1"/>
      <c r="ABZ1473" s="1"/>
      <c r="ACA1473" s="1"/>
      <c r="ACB1473" s="1"/>
      <c r="ACC1473" s="1"/>
      <c r="ACD1473" s="1"/>
      <c r="ACE1473" s="1"/>
      <c r="ACF1473" s="1"/>
      <c r="ACG1473" s="1"/>
      <c r="ACH1473" s="1"/>
      <c r="ACI1473" s="1"/>
      <c r="ACJ1473" s="1"/>
      <c r="ACK1473" s="1"/>
      <c r="ACL1473" s="1"/>
      <c r="ACM1473" s="1"/>
      <c r="ACN1473" s="1"/>
      <c r="ACO1473" s="1"/>
      <c r="ACP1473" s="1"/>
      <c r="ACQ1473" s="1"/>
      <c r="ACR1473" s="1"/>
      <c r="ACS1473" s="1"/>
      <c r="ACT1473" s="1"/>
      <c r="ACU1473" s="1"/>
      <c r="ACV1473" s="1"/>
      <c r="ACW1473" s="1"/>
      <c r="ACX1473" s="1"/>
      <c r="ACY1473" s="1"/>
      <c r="ACZ1473" s="1"/>
      <c r="ADA1473" s="1"/>
      <c r="ADB1473" s="1"/>
      <c r="ADC1473" s="1"/>
      <c r="ADD1473" s="1"/>
      <c r="ADE1473" s="1"/>
      <c r="ADF1473" s="1"/>
      <c r="ADG1473" s="1"/>
      <c r="ADH1473" s="1"/>
      <c r="ADI1473" s="1"/>
      <c r="ADJ1473" s="1"/>
      <c r="ADK1473" s="1"/>
      <c r="ADL1473" s="1"/>
      <c r="ADM1473" s="1"/>
      <c r="ADN1473" s="1"/>
      <c r="ADO1473" s="1"/>
      <c r="ADP1473" s="1"/>
      <c r="ADQ1473" s="1"/>
      <c r="ADR1473" s="1"/>
      <c r="ADS1473" s="1"/>
      <c r="ADT1473" s="1"/>
      <c r="ADU1473" s="1"/>
      <c r="ADV1473" s="1"/>
      <c r="ADW1473" s="1"/>
      <c r="ADX1473" s="1"/>
      <c r="ADY1473" s="1"/>
      <c r="ADZ1473" s="1"/>
      <c r="AEA1473" s="1"/>
      <c r="AEB1473" s="1"/>
      <c r="AEC1473" s="1"/>
      <c r="AED1473" s="1"/>
      <c r="AEE1473" s="1"/>
      <c r="AEF1473" s="1"/>
      <c r="AEG1473" s="1"/>
      <c r="AEH1473" s="1"/>
      <c r="AEI1473" s="1"/>
      <c r="AEJ1473" s="1"/>
      <c r="AEK1473" s="1"/>
      <c r="AEL1473" s="1"/>
      <c r="AEM1473" s="1"/>
      <c r="AEN1473" s="1"/>
      <c r="AEO1473" s="1"/>
      <c r="AEP1473" s="1"/>
      <c r="AEQ1473" s="1"/>
      <c r="AER1473" s="1"/>
      <c r="AES1473" s="1"/>
      <c r="AET1473" s="1"/>
      <c r="AEU1473" s="1"/>
      <c r="AEV1473" s="1"/>
      <c r="AEW1473" s="1"/>
      <c r="AEX1473" s="1"/>
      <c r="AEY1473" s="1"/>
      <c r="AEZ1473" s="1"/>
      <c r="AFA1473" s="1"/>
      <c r="AFB1473" s="1"/>
      <c r="AFC1473" s="1"/>
      <c r="AFD1473" s="1"/>
      <c r="AFE1473" s="1"/>
      <c r="AFF1473" s="1"/>
      <c r="AFG1473" s="1"/>
      <c r="AFH1473" s="1"/>
      <c r="AFI1473" s="1"/>
      <c r="AFJ1473" s="1"/>
      <c r="AFK1473" s="1"/>
      <c r="AFL1473" s="1"/>
      <c r="AFM1473" s="1"/>
      <c r="AFN1473" s="1"/>
      <c r="AFO1473" s="1"/>
      <c r="AFP1473" s="1"/>
      <c r="AFQ1473" s="1"/>
      <c r="AFR1473" s="1"/>
      <c r="AFS1473" s="1"/>
      <c r="AFT1473" s="1"/>
      <c r="AFU1473" s="1"/>
      <c r="AFV1473" s="1"/>
      <c r="AFW1473" s="1"/>
      <c r="AFX1473" s="1"/>
      <c r="AFY1473" s="1"/>
      <c r="AFZ1473" s="1"/>
      <c r="AGA1473" s="1"/>
      <c r="AGB1473" s="1"/>
      <c r="AGC1473" s="1"/>
      <c r="AGD1473" s="1"/>
      <c r="AGE1473" s="1"/>
      <c r="AGF1473" s="1"/>
      <c r="AGG1473" s="1"/>
      <c r="AGH1473" s="1"/>
      <c r="AGI1473" s="1"/>
      <c r="AGJ1473" s="1"/>
      <c r="AGK1473" s="1"/>
      <c r="AGL1473" s="1"/>
      <c r="AGM1473" s="1"/>
      <c r="AGN1473" s="1"/>
      <c r="AGO1473" s="1"/>
      <c r="AGP1473" s="1"/>
      <c r="AGQ1473" s="1"/>
      <c r="AGR1473" s="1"/>
      <c r="AGS1473" s="1"/>
      <c r="AGT1473" s="1"/>
      <c r="AGU1473" s="1"/>
      <c r="AGV1473" s="1"/>
      <c r="AGW1473" s="1"/>
      <c r="AGX1473" s="1"/>
      <c r="AGY1473" s="1"/>
      <c r="AGZ1473" s="1"/>
      <c r="AHA1473" s="1"/>
      <c r="AHB1473" s="1"/>
      <c r="AHC1473" s="1"/>
      <c r="AHD1473" s="1"/>
      <c r="AHE1473" s="1"/>
      <c r="AHF1473" s="1"/>
      <c r="AHG1473" s="1"/>
      <c r="AHH1473" s="1"/>
      <c r="AHI1473" s="1"/>
      <c r="AHJ1473" s="1"/>
      <c r="AHK1473" s="1"/>
      <c r="AHL1473" s="1"/>
      <c r="AHM1473" s="1"/>
      <c r="AHN1473" s="1"/>
      <c r="AHO1473" s="1"/>
      <c r="AHP1473" s="1"/>
      <c r="AHQ1473" s="1"/>
      <c r="AHR1473" s="1"/>
      <c r="AHS1473" s="1"/>
      <c r="AHT1473" s="1"/>
      <c r="AHU1473" s="1"/>
      <c r="AHV1473" s="1"/>
      <c r="AHW1473" s="1"/>
      <c r="AHX1473" s="1"/>
      <c r="AHY1473" s="1"/>
      <c r="AHZ1473" s="1"/>
      <c r="AIA1473" s="1"/>
      <c r="AIB1473" s="1"/>
      <c r="AIC1473" s="1"/>
      <c r="AID1473" s="1"/>
      <c r="AIE1473" s="1"/>
      <c r="AIF1473" s="1"/>
      <c r="AIG1473" s="1"/>
      <c r="AIH1473" s="1"/>
      <c r="AII1473" s="1"/>
      <c r="AIJ1473" s="1"/>
      <c r="AIK1473" s="1"/>
      <c r="AIL1473" s="1"/>
      <c r="AIM1473" s="1"/>
      <c r="AIN1473" s="1"/>
      <c r="AIO1473" s="1"/>
      <c r="AIP1473" s="1"/>
      <c r="AIQ1473" s="1"/>
      <c r="AIR1473" s="1"/>
      <c r="AIS1473" s="1"/>
      <c r="AIT1473" s="1"/>
      <c r="AIU1473" s="1"/>
      <c r="AIV1473" s="1"/>
      <c r="AIW1473" s="1"/>
      <c r="AIX1473" s="1"/>
      <c r="AIY1473" s="1"/>
      <c r="AIZ1473" s="1"/>
      <c r="AJA1473" s="1"/>
      <c r="AJB1473" s="1"/>
      <c r="AJC1473" s="1"/>
      <c r="AJD1473" s="1"/>
      <c r="AJE1473" s="1"/>
      <c r="AJF1473" s="1"/>
      <c r="AJG1473" s="1"/>
      <c r="AJH1473" s="1"/>
      <c r="AJI1473" s="1"/>
      <c r="AJJ1473" s="1"/>
      <c r="AJK1473" s="1"/>
      <c r="AJL1473" s="1"/>
      <c r="AJM1473" s="1"/>
      <c r="AJN1473" s="1"/>
      <c r="AJO1473" s="1"/>
      <c r="AJP1473" s="1"/>
      <c r="AJQ1473" s="1"/>
      <c r="AJR1473" s="1"/>
      <c r="AJS1473" s="1"/>
      <c r="AJT1473" s="1"/>
      <c r="AJU1473" s="1"/>
      <c r="AJV1473" s="1"/>
      <c r="AJW1473" s="1"/>
      <c r="AJX1473" s="1"/>
      <c r="AJY1473" s="1"/>
      <c r="AJZ1473" s="1"/>
      <c r="AKA1473" s="1"/>
      <c r="AKB1473" s="1"/>
      <c r="AKC1473" s="1"/>
      <c r="AKD1473" s="1"/>
      <c r="AKE1473" s="1"/>
      <c r="AKF1473" s="1"/>
      <c r="AKG1473" s="1"/>
      <c r="AKH1473" s="1"/>
      <c r="AKI1473" s="1"/>
      <c r="AKJ1473" s="1"/>
      <c r="AKK1473" s="1"/>
      <c r="AKL1473" s="1"/>
      <c r="AKM1473" s="1"/>
      <c r="AKN1473" s="1"/>
      <c r="AKO1473" s="1"/>
      <c r="AKP1473" s="1"/>
      <c r="AKQ1473" s="1"/>
      <c r="AKR1473" s="1"/>
      <c r="AKS1473" s="1"/>
      <c r="AKT1473" s="1"/>
      <c r="AKU1473" s="1"/>
      <c r="AKV1473" s="1"/>
      <c r="AKW1473" s="1"/>
      <c r="AKX1473" s="1"/>
      <c r="AKY1473" s="1"/>
      <c r="AKZ1473" s="1"/>
      <c r="ALA1473" s="1"/>
      <c r="ALB1473" s="1"/>
      <c r="ALC1473" s="1"/>
      <c r="ALD1473" s="1"/>
      <c r="ALE1473" s="1"/>
      <c r="ALF1473" s="1"/>
      <c r="ALG1473" s="1"/>
      <c r="ALH1473" s="1"/>
      <c r="ALI1473" s="1"/>
      <c r="ALJ1473" s="1"/>
      <c r="ALK1473" s="1"/>
      <c r="ALL1473" s="1"/>
      <c r="ALM1473" s="1"/>
      <c r="ALN1473" s="1"/>
      <c r="ALO1473" s="1"/>
      <c r="ALP1473" s="1"/>
      <c r="ALQ1473" s="1"/>
      <c r="ALR1473" s="1"/>
      <c r="ALS1473" s="1"/>
      <c r="ALT1473" s="1"/>
      <c r="ALU1473" s="1"/>
      <c r="ALV1473" s="1"/>
      <c r="ALW1473" s="1"/>
      <c r="ALX1473" s="1"/>
      <c r="ALY1473" s="1"/>
      <c r="ALZ1473" s="1"/>
      <c r="AMA1473" s="1"/>
      <c r="AMB1473" s="1"/>
      <c r="AMC1473" s="1"/>
      <c r="AMD1473" s="1"/>
      <c r="AME1473" s="1"/>
      <c r="AMF1473" s="1"/>
      <c r="AMG1473" s="1"/>
      <c r="AMH1473" s="1"/>
      <c r="AMI1473" s="1"/>
      <c r="AMJ1473" s="1"/>
      <c r="AMK1473" s="1"/>
    </row>
    <row r="1474" spans="1:1025" s="2" customFormat="1" ht="63" hidden="1" customHeight="1" x14ac:dyDescent="0.25">
      <c r="A1474" s="201"/>
      <c r="B1474" s="202"/>
      <c r="C1474" s="202"/>
      <c r="D1474" s="202"/>
      <c r="E1474" s="202"/>
      <c r="F1474" s="202"/>
      <c r="G1474" s="202"/>
      <c r="H1474" s="202"/>
      <c r="I1474" s="203"/>
      <c r="J1474" s="226" t="s">
        <v>1000</v>
      </c>
      <c r="K1474" s="227">
        <f t="shared" si="26"/>
        <v>2000</v>
      </c>
      <c r="L1474" s="228" t="s">
        <v>3</v>
      </c>
      <c r="M1474" s="908">
        <f t="shared" si="27"/>
        <v>70</v>
      </c>
      <c r="N1474" s="194"/>
      <c r="O1474" s="55"/>
      <c r="P1474" s="226" t="s">
        <v>1000</v>
      </c>
      <c r="Q1474" s="227">
        <f t="shared" si="28"/>
        <v>0</v>
      </c>
      <c r="R1474" s="228" t="s">
        <v>3</v>
      </c>
      <c r="S1474" s="229">
        <f t="shared" si="29"/>
        <v>0</v>
      </c>
      <c r="T1474" s="194"/>
      <c r="U1474" s="228"/>
      <c r="V1474" s="226" t="s">
        <v>1000</v>
      </c>
      <c r="W1474" s="227">
        <f t="shared" si="30"/>
        <v>18000</v>
      </c>
      <c r="X1474" s="228" t="s">
        <v>3</v>
      </c>
      <c r="Y1474" s="229">
        <f t="shared" si="31"/>
        <v>54.8</v>
      </c>
      <c r="Z1474" s="194"/>
      <c r="AA1474" s="55"/>
      <c r="AB1474" s="226" t="s">
        <v>1000</v>
      </c>
      <c r="AC1474" s="227">
        <f t="shared" si="32"/>
        <v>18000</v>
      </c>
      <c r="AD1474" s="228" t="s">
        <v>3</v>
      </c>
      <c r="AE1474" s="229">
        <f t="shared" si="33"/>
        <v>54.8</v>
      </c>
      <c r="AF1474" s="194"/>
      <c r="AG1474" s="55"/>
      <c r="AH1474" s="226" t="s">
        <v>1000</v>
      </c>
      <c r="AI1474" s="227">
        <f t="shared" si="34"/>
        <v>18000</v>
      </c>
      <c r="AJ1474" s="228" t="s">
        <v>3</v>
      </c>
      <c r="AK1474" s="229">
        <f t="shared" si="35"/>
        <v>54.8</v>
      </c>
      <c r="AL1474" s="194"/>
      <c r="AM1474" s="55"/>
      <c r="AN1474" s="226" t="s">
        <v>1000</v>
      </c>
      <c r="AO1474" s="227">
        <f t="shared" si="36"/>
        <v>18000</v>
      </c>
      <c r="AP1474" s="228" t="s">
        <v>3</v>
      </c>
      <c r="AQ1474" s="229">
        <f t="shared" si="37"/>
        <v>54.8</v>
      </c>
      <c r="AR1474" s="1170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  <c r="EA1474" s="1"/>
      <c r="EB1474" s="1"/>
      <c r="EC1474" s="1"/>
      <c r="ED1474" s="1"/>
      <c r="EE1474" s="1"/>
      <c r="EF1474" s="1"/>
      <c r="EG1474" s="1"/>
      <c r="EH1474" s="1"/>
      <c r="EI1474" s="1"/>
      <c r="EJ1474" s="1"/>
      <c r="EK1474" s="1"/>
      <c r="EL1474" s="1"/>
      <c r="EM1474" s="1"/>
      <c r="EN1474" s="1"/>
      <c r="EO1474" s="1"/>
      <c r="EP1474" s="1"/>
      <c r="EQ1474" s="1"/>
      <c r="ER1474" s="1"/>
      <c r="ES1474" s="1"/>
      <c r="ET1474" s="1"/>
      <c r="EU1474" s="1"/>
      <c r="EV1474" s="1"/>
      <c r="EW1474" s="1"/>
      <c r="EX1474" s="1"/>
      <c r="EY1474" s="1"/>
      <c r="EZ1474" s="1"/>
      <c r="FA1474" s="1"/>
      <c r="FB1474" s="1"/>
      <c r="FC1474" s="1"/>
      <c r="FD1474" s="1"/>
      <c r="FE1474" s="1"/>
      <c r="FF1474" s="1"/>
      <c r="FG1474" s="1"/>
      <c r="FH1474" s="1"/>
      <c r="FI1474" s="1"/>
      <c r="FJ1474" s="1"/>
      <c r="FK1474" s="1"/>
      <c r="FL1474" s="1"/>
      <c r="FM1474" s="1"/>
      <c r="FN1474" s="1"/>
      <c r="FO1474" s="1"/>
      <c r="FP1474" s="1"/>
      <c r="FQ1474" s="1"/>
      <c r="FR1474" s="1"/>
      <c r="FS1474" s="1"/>
      <c r="FT1474" s="1"/>
      <c r="FU1474" s="1"/>
      <c r="FV1474" s="1"/>
      <c r="FW1474" s="1"/>
      <c r="FX1474" s="1"/>
      <c r="FY1474" s="1"/>
      <c r="FZ1474" s="1"/>
      <c r="GA1474" s="1"/>
      <c r="GB1474" s="1"/>
      <c r="GC1474" s="1"/>
      <c r="GD1474" s="1"/>
      <c r="GE1474" s="1"/>
      <c r="GF1474" s="1"/>
      <c r="GG1474" s="1"/>
      <c r="GH1474" s="1"/>
      <c r="GI1474" s="1"/>
      <c r="GJ1474" s="1"/>
      <c r="GK1474" s="1"/>
      <c r="GL1474" s="1"/>
      <c r="GM1474" s="1"/>
      <c r="GN1474" s="1"/>
      <c r="GO1474" s="1"/>
      <c r="GP1474" s="1"/>
      <c r="GQ1474" s="1"/>
      <c r="GR1474" s="1"/>
      <c r="GS1474" s="1"/>
      <c r="GT1474" s="1"/>
      <c r="GU1474" s="1"/>
      <c r="GV1474" s="1"/>
      <c r="GW1474" s="1"/>
      <c r="GX1474" s="1"/>
      <c r="GY1474" s="1"/>
      <c r="GZ1474" s="1"/>
      <c r="HA1474" s="1"/>
      <c r="HB1474" s="1"/>
      <c r="HC1474" s="1"/>
      <c r="HD1474" s="1"/>
      <c r="HE1474" s="1"/>
      <c r="HF1474" s="1"/>
      <c r="HG1474" s="1"/>
      <c r="HH1474" s="1"/>
      <c r="HI1474" s="1"/>
      <c r="HJ1474" s="1"/>
      <c r="HK1474" s="1"/>
      <c r="HL1474" s="1"/>
      <c r="HM1474" s="1"/>
      <c r="HN1474" s="1"/>
      <c r="HO1474" s="1"/>
      <c r="HP1474" s="1"/>
      <c r="HQ1474" s="1"/>
      <c r="HR1474" s="1"/>
      <c r="HS1474" s="1"/>
      <c r="HT1474" s="1"/>
      <c r="HU1474" s="1"/>
      <c r="HV1474" s="1"/>
      <c r="HW1474" s="1"/>
      <c r="HX1474" s="1"/>
      <c r="HY1474" s="1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  <c r="IU1474" s="1"/>
      <c r="IV1474" s="1"/>
      <c r="IW1474" s="1"/>
      <c r="IX1474" s="1"/>
      <c r="IY1474" s="1"/>
      <c r="IZ1474" s="1"/>
      <c r="JA1474" s="1"/>
      <c r="JB1474" s="1"/>
      <c r="JC1474" s="1"/>
      <c r="JD1474" s="1"/>
      <c r="JE1474" s="1"/>
      <c r="JF1474" s="1"/>
      <c r="JG1474" s="1"/>
      <c r="JH1474" s="1"/>
      <c r="JI1474" s="1"/>
      <c r="JJ1474" s="1"/>
      <c r="JK1474" s="1"/>
      <c r="JL1474" s="1"/>
      <c r="JM1474" s="1"/>
      <c r="JN1474" s="1"/>
      <c r="JO1474" s="1"/>
      <c r="JP1474" s="1"/>
      <c r="JQ1474" s="1"/>
      <c r="JR1474" s="1"/>
      <c r="JS1474" s="1"/>
      <c r="JT1474" s="1"/>
      <c r="JU1474" s="1"/>
      <c r="JV1474" s="1"/>
      <c r="JW1474" s="1"/>
      <c r="JX1474" s="1"/>
      <c r="JY1474" s="1"/>
      <c r="JZ1474" s="1"/>
      <c r="KA1474" s="1"/>
      <c r="KB1474" s="1"/>
      <c r="KC1474" s="1"/>
      <c r="KD1474" s="1"/>
      <c r="KE1474" s="1"/>
      <c r="KF1474" s="1"/>
      <c r="KG1474" s="1"/>
      <c r="KH1474" s="1"/>
      <c r="KI1474" s="1"/>
      <c r="KJ1474" s="1"/>
      <c r="KK1474" s="1"/>
      <c r="KL1474" s="1"/>
      <c r="KM1474" s="1"/>
      <c r="KN1474" s="1"/>
      <c r="KO1474" s="1"/>
      <c r="KP1474" s="1"/>
      <c r="KQ1474" s="1"/>
      <c r="KR1474" s="1"/>
      <c r="KS1474" s="1"/>
      <c r="KT1474" s="1"/>
      <c r="KU1474" s="1"/>
      <c r="KV1474" s="1"/>
      <c r="KW1474" s="1"/>
      <c r="KX1474" s="1"/>
      <c r="KY1474" s="1"/>
      <c r="KZ1474" s="1"/>
      <c r="LA1474" s="1"/>
      <c r="LB1474" s="1"/>
      <c r="LC1474" s="1"/>
      <c r="LD1474" s="1"/>
      <c r="LE1474" s="1"/>
      <c r="LF1474" s="1"/>
      <c r="LG1474" s="1"/>
      <c r="LH1474" s="1"/>
      <c r="LI1474" s="1"/>
      <c r="LJ1474" s="1"/>
      <c r="LK1474" s="1"/>
      <c r="LL1474" s="1"/>
      <c r="LM1474" s="1"/>
      <c r="LN1474" s="1"/>
      <c r="LO1474" s="1"/>
      <c r="LP1474" s="1"/>
      <c r="LQ1474" s="1"/>
      <c r="LR1474" s="1"/>
      <c r="LS1474" s="1"/>
      <c r="LT1474" s="1"/>
      <c r="LU1474" s="1"/>
      <c r="LV1474" s="1"/>
      <c r="LW1474" s="1"/>
      <c r="LX1474" s="1"/>
      <c r="LY1474" s="1"/>
      <c r="LZ1474" s="1"/>
      <c r="MA1474" s="1"/>
      <c r="MB1474" s="1"/>
      <c r="MC1474" s="1"/>
      <c r="MD1474" s="1"/>
      <c r="ME1474" s="1"/>
      <c r="MF1474" s="1"/>
      <c r="MG1474" s="1"/>
      <c r="MH1474" s="1"/>
      <c r="MI1474" s="1"/>
      <c r="MJ1474" s="1"/>
      <c r="MK1474" s="1"/>
      <c r="ML1474" s="1"/>
      <c r="MM1474" s="1"/>
      <c r="MN1474" s="1"/>
      <c r="MO1474" s="1"/>
      <c r="MP1474" s="1"/>
      <c r="MQ1474" s="1"/>
      <c r="MR1474" s="1"/>
      <c r="MS1474" s="1"/>
      <c r="MT1474" s="1"/>
      <c r="MU1474" s="1"/>
      <c r="MV1474" s="1"/>
      <c r="MW1474" s="1"/>
      <c r="MX1474" s="1"/>
      <c r="MY1474" s="1"/>
      <c r="MZ1474" s="1"/>
      <c r="NA1474" s="1"/>
      <c r="NB1474" s="1"/>
      <c r="NC1474" s="1"/>
      <c r="ND1474" s="1"/>
      <c r="NE1474" s="1"/>
      <c r="NF1474" s="1"/>
      <c r="NG1474" s="1"/>
      <c r="NH1474" s="1"/>
      <c r="NI1474" s="1"/>
      <c r="NJ1474" s="1"/>
      <c r="NK1474" s="1"/>
      <c r="NL1474" s="1"/>
      <c r="NM1474" s="1"/>
      <c r="NN1474" s="1"/>
      <c r="NO1474" s="1"/>
      <c r="NP1474" s="1"/>
      <c r="NQ1474" s="1"/>
      <c r="NR1474" s="1"/>
      <c r="NS1474" s="1"/>
      <c r="NT1474" s="1"/>
      <c r="NU1474" s="1"/>
      <c r="NV1474" s="1"/>
      <c r="NW1474" s="1"/>
      <c r="NX1474" s="1"/>
      <c r="NY1474" s="1"/>
      <c r="NZ1474" s="1"/>
      <c r="OA1474" s="1"/>
      <c r="OB1474" s="1"/>
      <c r="OC1474" s="1"/>
      <c r="OD1474" s="1"/>
      <c r="OE1474" s="1"/>
      <c r="OF1474" s="1"/>
      <c r="OG1474" s="1"/>
      <c r="OH1474" s="1"/>
      <c r="OI1474" s="1"/>
      <c r="OJ1474" s="1"/>
      <c r="OK1474" s="1"/>
      <c r="OL1474" s="1"/>
      <c r="OM1474" s="1"/>
      <c r="ON1474" s="1"/>
      <c r="OO1474" s="1"/>
      <c r="OP1474" s="1"/>
      <c r="OQ1474" s="1"/>
      <c r="OR1474" s="1"/>
      <c r="OS1474" s="1"/>
      <c r="OT1474" s="1"/>
      <c r="OU1474" s="1"/>
      <c r="OV1474" s="1"/>
      <c r="OW1474" s="1"/>
      <c r="OX1474" s="1"/>
      <c r="OY1474" s="1"/>
      <c r="OZ1474" s="1"/>
      <c r="PA1474" s="1"/>
      <c r="PB1474" s="1"/>
      <c r="PC1474" s="1"/>
      <c r="PD1474" s="1"/>
      <c r="PE1474" s="1"/>
      <c r="PF1474" s="1"/>
      <c r="PG1474" s="1"/>
      <c r="PH1474" s="1"/>
      <c r="PI1474" s="1"/>
      <c r="PJ1474" s="1"/>
      <c r="PK1474" s="1"/>
      <c r="PL1474" s="1"/>
      <c r="PM1474" s="1"/>
      <c r="PN1474" s="1"/>
      <c r="PO1474" s="1"/>
      <c r="PP1474" s="1"/>
      <c r="PQ1474" s="1"/>
      <c r="PR1474" s="1"/>
      <c r="PS1474" s="1"/>
      <c r="PT1474" s="1"/>
      <c r="PU1474" s="1"/>
      <c r="PV1474" s="1"/>
      <c r="PW1474" s="1"/>
      <c r="PX1474" s="1"/>
      <c r="PY1474" s="1"/>
      <c r="PZ1474" s="1"/>
      <c r="QA1474" s="1"/>
      <c r="QB1474" s="1"/>
      <c r="QC1474" s="1"/>
      <c r="QD1474" s="1"/>
      <c r="QE1474" s="1"/>
      <c r="QF1474" s="1"/>
      <c r="QG1474" s="1"/>
      <c r="QH1474" s="1"/>
      <c r="QI1474" s="1"/>
      <c r="QJ1474" s="1"/>
      <c r="QK1474" s="1"/>
      <c r="QL1474" s="1"/>
      <c r="QM1474" s="1"/>
      <c r="QN1474" s="1"/>
      <c r="QO1474" s="1"/>
      <c r="QP1474" s="1"/>
      <c r="QQ1474" s="1"/>
      <c r="QR1474" s="1"/>
      <c r="QS1474" s="1"/>
      <c r="QT1474" s="1"/>
      <c r="QU1474" s="1"/>
      <c r="QV1474" s="1"/>
      <c r="QW1474" s="1"/>
      <c r="QX1474" s="1"/>
      <c r="QY1474" s="1"/>
      <c r="QZ1474" s="1"/>
      <c r="RA1474" s="1"/>
      <c r="RB1474" s="1"/>
      <c r="RC1474" s="1"/>
      <c r="RD1474" s="1"/>
      <c r="RE1474" s="1"/>
      <c r="RF1474" s="1"/>
      <c r="RG1474" s="1"/>
      <c r="RH1474" s="1"/>
      <c r="RI1474" s="1"/>
      <c r="RJ1474" s="1"/>
      <c r="RK1474" s="1"/>
      <c r="RL1474" s="1"/>
      <c r="RM1474" s="1"/>
      <c r="RN1474" s="1"/>
      <c r="RO1474" s="1"/>
      <c r="RP1474" s="1"/>
      <c r="RQ1474" s="1"/>
      <c r="RR1474" s="1"/>
      <c r="RS1474" s="1"/>
      <c r="RT1474" s="1"/>
      <c r="RU1474" s="1"/>
      <c r="RV1474" s="1"/>
      <c r="RW1474" s="1"/>
      <c r="RX1474" s="1"/>
      <c r="RY1474" s="1"/>
      <c r="RZ1474" s="1"/>
      <c r="SA1474" s="1"/>
      <c r="SB1474" s="1"/>
      <c r="SC1474" s="1"/>
      <c r="SD1474" s="1"/>
      <c r="SE1474" s="1"/>
      <c r="SF1474" s="1"/>
      <c r="SG1474" s="1"/>
      <c r="SH1474" s="1"/>
      <c r="SI1474" s="1"/>
      <c r="SJ1474" s="1"/>
      <c r="SK1474" s="1"/>
      <c r="SL1474" s="1"/>
      <c r="SM1474" s="1"/>
      <c r="SN1474" s="1"/>
      <c r="SO1474" s="1"/>
      <c r="SP1474" s="1"/>
      <c r="SQ1474" s="1"/>
      <c r="SR1474" s="1"/>
      <c r="SS1474" s="1"/>
      <c r="ST1474" s="1"/>
      <c r="SU1474" s="1"/>
      <c r="SV1474" s="1"/>
      <c r="SW1474" s="1"/>
      <c r="SX1474" s="1"/>
      <c r="SY1474" s="1"/>
      <c r="SZ1474" s="1"/>
      <c r="TA1474" s="1"/>
      <c r="TB1474" s="1"/>
      <c r="TC1474" s="1"/>
      <c r="TD1474" s="1"/>
      <c r="TE1474" s="1"/>
      <c r="TF1474" s="1"/>
      <c r="TG1474" s="1"/>
      <c r="TH1474" s="1"/>
      <c r="TI1474" s="1"/>
      <c r="TJ1474" s="1"/>
      <c r="TK1474" s="1"/>
      <c r="TL1474" s="1"/>
      <c r="TM1474" s="1"/>
      <c r="TN1474" s="1"/>
      <c r="TO1474" s="1"/>
      <c r="TP1474" s="1"/>
      <c r="TQ1474" s="1"/>
      <c r="TR1474" s="1"/>
      <c r="TS1474" s="1"/>
      <c r="TT1474" s="1"/>
      <c r="TU1474" s="1"/>
      <c r="TV1474" s="1"/>
      <c r="TW1474" s="1"/>
      <c r="TX1474" s="1"/>
      <c r="TY1474" s="1"/>
      <c r="TZ1474" s="1"/>
      <c r="UA1474" s="1"/>
      <c r="UB1474" s="1"/>
      <c r="UC1474" s="1"/>
      <c r="UD1474" s="1"/>
      <c r="UE1474" s="1"/>
      <c r="UF1474" s="1"/>
      <c r="UG1474" s="1"/>
      <c r="UH1474" s="1"/>
      <c r="UI1474" s="1"/>
      <c r="UJ1474" s="1"/>
      <c r="UK1474" s="1"/>
      <c r="UL1474" s="1"/>
      <c r="UM1474" s="1"/>
      <c r="UN1474" s="1"/>
      <c r="UO1474" s="1"/>
      <c r="UP1474" s="1"/>
      <c r="UQ1474" s="1"/>
      <c r="UR1474" s="1"/>
      <c r="US1474" s="1"/>
      <c r="UT1474" s="1"/>
      <c r="UU1474" s="1"/>
      <c r="UV1474" s="1"/>
      <c r="UW1474" s="1"/>
      <c r="UX1474" s="1"/>
      <c r="UY1474" s="1"/>
      <c r="UZ1474" s="1"/>
      <c r="VA1474" s="1"/>
      <c r="VB1474" s="1"/>
      <c r="VC1474" s="1"/>
      <c r="VD1474" s="1"/>
      <c r="VE1474" s="1"/>
      <c r="VF1474" s="1"/>
      <c r="VG1474" s="1"/>
      <c r="VH1474" s="1"/>
      <c r="VI1474" s="1"/>
      <c r="VJ1474" s="1"/>
      <c r="VK1474" s="1"/>
      <c r="VL1474" s="1"/>
      <c r="VM1474" s="1"/>
      <c r="VN1474" s="1"/>
      <c r="VO1474" s="1"/>
      <c r="VP1474" s="1"/>
      <c r="VQ1474" s="1"/>
      <c r="VR1474" s="1"/>
      <c r="VS1474" s="1"/>
      <c r="VT1474" s="1"/>
      <c r="VU1474" s="1"/>
      <c r="VV1474" s="1"/>
      <c r="VW1474" s="1"/>
      <c r="VX1474" s="1"/>
      <c r="VY1474" s="1"/>
      <c r="VZ1474" s="1"/>
      <c r="WA1474" s="1"/>
      <c r="WB1474" s="1"/>
      <c r="WC1474" s="1"/>
      <c r="WD1474" s="1"/>
      <c r="WE1474" s="1"/>
      <c r="WF1474" s="1"/>
      <c r="WG1474" s="1"/>
      <c r="WH1474" s="1"/>
      <c r="WI1474" s="1"/>
      <c r="WJ1474" s="1"/>
      <c r="WK1474" s="1"/>
      <c r="WL1474" s="1"/>
      <c r="WM1474" s="1"/>
      <c r="WN1474" s="1"/>
      <c r="WO1474" s="1"/>
      <c r="WP1474" s="1"/>
      <c r="WQ1474" s="1"/>
      <c r="WR1474" s="1"/>
      <c r="WS1474" s="1"/>
      <c r="WT1474" s="1"/>
      <c r="WU1474" s="1"/>
      <c r="WV1474" s="1"/>
      <c r="WW1474" s="1"/>
      <c r="WX1474" s="1"/>
      <c r="WY1474" s="1"/>
      <c r="WZ1474" s="1"/>
      <c r="XA1474" s="1"/>
      <c r="XB1474" s="1"/>
      <c r="XC1474" s="1"/>
      <c r="XD1474" s="1"/>
      <c r="XE1474" s="1"/>
      <c r="XF1474" s="1"/>
      <c r="XG1474" s="1"/>
      <c r="XH1474" s="1"/>
      <c r="XI1474" s="1"/>
      <c r="XJ1474" s="1"/>
      <c r="XK1474" s="1"/>
      <c r="XL1474" s="1"/>
      <c r="XM1474" s="1"/>
      <c r="XN1474" s="1"/>
      <c r="XO1474" s="1"/>
      <c r="XP1474" s="1"/>
      <c r="XQ1474" s="1"/>
      <c r="XR1474" s="1"/>
      <c r="XS1474" s="1"/>
      <c r="XT1474" s="1"/>
      <c r="XU1474" s="1"/>
      <c r="XV1474" s="1"/>
      <c r="XW1474" s="1"/>
      <c r="XX1474" s="1"/>
      <c r="XY1474" s="1"/>
      <c r="XZ1474" s="1"/>
      <c r="YA1474" s="1"/>
      <c r="YB1474" s="1"/>
      <c r="YC1474" s="1"/>
      <c r="YD1474" s="1"/>
      <c r="YE1474" s="1"/>
      <c r="YF1474" s="1"/>
      <c r="YG1474" s="1"/>
      <c r="YH1474" s="1"/>
      <c r="YI1474" s="1"/>
      <c r="YJ1474" s="1"/>
      <c r="YK1474" s="1"/>
      <c r="YL1474" s="1"/>
      <c r="YM1474" s="1"/>
      <c r="YN1474" s="1"/>
      <c r="YO1474" s="1"/>
      <c r="YP1474" s="1"/>
      <c r="YQ1474" s="1"/>
      <c r="YR1474" s="1"/>
      <c r="YS1474" s="1"/>
      <c r="YT1474" s="1"/>
      <c r="YU1474" s="1"/>
      <c r="YV1474" s="1"/>
      <c r="YW1474" s="1"/>
      <c r="YX1474" s="1"/>
      <c r="YY1474" s="1"/>
      <c r="YZ1474" s="1"/>
      <c r="ZA1474" s="1"/>
      <c r="ZB1474" s="1"/>
      <c r="ZC1474" s="1"/>
      <c r="ZD1474" s="1"/>
      <c r="ZE1474" s="1"/>
      <c r="ZF1474" s="1"/>
      <c r="ZG1474" s="1"/>
      <c r="ZH1474" s="1"/>
      <c r="ZI1474" s="1"/>
      <c r="ZJ1474" s="1"/>
      <c r="ZK1474" s="1"/>
      <c r="ZL1474" s="1"/>
      <c r="ZM1474" s="1"/>
      <c r="ZN1474" s="1"/>
      <c r="ZO1474" s="1"/>
      <c r="ZP1474" s="1"/>
      <c r="ZQ1474" s="1"/>
      <c r="ZR1474" s="1"/>
      <c r="ZS1474" s="1"/>
      <c r="ZT1474" s="1"/>
      <c r="ZU1474" s="1"/>
      <c r="ZV1474" s="1"/>
      <c r="ZW1474" s="1"/>
      <c r="ZX1474" s="1"/>
      <c r="ZY1474" s="1"/>
      <c r="ZZ1474" s="1"/>
      <c r="AAA1474" s="1"/>
      <c r="AAB1474" s="1"/>
      <c r="AAC1474" s="1"/>
      <c r="AAD1474" s="1"/>
      <c r="AAE1474" s="1"/>
      <c r="AAF1474" s="1"/>
      <c r="AAG1474" s="1"/>
      <c r="AAH1474" s="1"/>
      <c r="AAI1474" s="1"/>
      <c r="AAJ1474" s="1"/>
      <c r="AAK1474" s="1"/>
      <c r="AAL1474" s="1"/>
      <c r="AAM1474" s="1"/>
      <c r="AAN1474" s="1"/>
      <c r="AAO1474" s="1"/>
      <c r="AAP1474" s="1"/>
      <c r="AAQ1474" s="1"/>
      <c r="AAR1474" s="1"/>
      <c r="AAS1474" s="1"/>
      <c r="AAT1474" s="1"/>
      <c r="AAU1474" s="1"/>
      <c r="AAV1474" s="1"/>
      <c r="AAW1474" s="1"/>
      <c r="AAX1474" s="1"/>
      <c r="AAY1474" s="1"/>
      <c r="AAZ1474" s="1"/>
      <c r="ABA1474" s="1"/>
      <c r="ABB1474" s="1"/>
      <c r="ABC1474" s="1"/>
      <c r="ABD1474" s="1"/>
      <c r="ABE1474" s="1"/>
      <c r="ABF1474" s="1"/>
      <c r="ABG1474" s="1"/>
      <c r="ABH1474" s="1"/>
      <c r="ABI1474" s="1"/>
      <c r="ABJ1474" s="1"/>
      <c r="ABK1474" s="1"/>
      <c r="ABL1474" s="1"/>
      <c r="ABM1474" s="1"/>
      <c r="ABN1474" s="1"/>
      <c r="ABO1474" s="1"/>
      <c r="ABP1474" s="1"/>
      <c r="ABQ1474" s="1"/>
      <c r="ABR1474" s="1"/>
      <c r="ABS1474" s="1"/>
      <c r="ABT1474" s="1"/>
      <c r="ABU1474" s="1"/>
      <c r="ABV1474" s="1"/>
      <c r="ABW1474" s="1"/>
      <c r="ABX1474" s="1"/>
      <c r="ABY1474" s="1"/>
      <c r="ABZ1474" s="1"/>
      <c r="ACA1474" s="1"/>
      <c r="ACB1474" s="1"/>
      <c r="ACC1474" s="1"/>
      <c r="ACD1474" s="1"/>
      <c r="ACE1474" s="1"/>
      <c r="ACF1474" s="1"/>
      <c r="ACG1474" s="1"/>
      <c r="ACH1474" s="1"/>
      <c r="ACI1474" s="1"/>
      <c r="ACJ1474" s="1"/>
      <c r="ACK1474" s="1"/>
      <c r="ACL1474" s="1"/>
      <c r="ACM1474" s="1"/>
      <c r="ACN1474" s="1"/>
      <c r="ACO1474" s="1"/>
      <c r="ACP1474" s="1"/>
      <c r="ACQ1474" s="1"/>
      <c r="ACR1474" s="1"/>
      <c r="ACS1474" s="1"/>
      <c r="ACT1474" s="1"/>
      <c r="ACU1474" s="1"/>
      <c r="ACV1474" s="1"/>
      <c r="ACW1474" s="1"/>
      <c r="ACX1474" s="1"/>
      <c r="ACY1474" s="1"/>
      <c r="ACZ1474" s="1"/>
      <c r="ADA1474" s="1"/>
      <c r="ADB1474" s="1"/>
      <c r="ADC1474" s="1"/>
      <c r="ADD1474" s="1"/>
      <c r="ADE1474" s="1"/>
      <c r="ADF1474" s="1"/>
      <c r="ADG1474" s="1"/>
      <c r="ADH1474" s="1"/>
      <c r="ADI1474" s="1"/>
      <c r="ADJ1474" s="1"/>
      <c r="ADK1474" s="1"/>
      <c r="ADL1474" s="1"/>
      <c r="ADM1474" s="1"/>
      <c r="ADN1474" s="1"/>
      <c r="ADO1474" s="1"/>
      <c r="ADP1474" s="1"/>
      <c r="ADQ1474" s="1"/>
      <c r="ADR1474" s="1"/>
      <c r="ADS1474" s="1"/>
      <c r="ADT1474" s="1"/>
      <c r="ADU1474" s="1"/>
      <c r="ADV1474" s="1"/>
      <c r="ADW1474" s="1"/>
      <c r="ADX1474" s="1"/>
      <c r="ADY1474" s="1"/>
      <c r="ADZ1474" s="1"/>
      <c r="AEA1474" s="1"/>
      <c r="AEB1474" s="1"/>
      <c r="AEC1474" s="1"/>
      <c r="AED1474" s="1"/>
      <c r="AEE1474" s="1"/>
      <c r="AEF1474" s="1"/>
      <c r="AEG1474" s="1"/>
      <c r="AEH1474" s="1"/>
      <c r="AEI1474" s="1"/>
      <c r="AEJ1474" s="1"/>
      <c r="AEK1474" s="1"/>
      <c r="AEL1474" s="1"/>
      <c r="AEM1474" s="1"/>
      <c r="AEN1474" s="1"/>
      <c r="AEO1474" s="1"/>
      <c r="AEP1474" s="1"/>
      <c r="AEQ1474" s="1"/>
      <c r="AER1474" s="1"/>
      <c r="AES1474" s="1"/>
      <c r="AET1474" s="1"/>
      <c r="AEU1474" s="1"/>
      <c r="AEV1474" s="1"/>
      <c r="AEW1474" s="1"/>
      <c r="AEX1474" s="1"/>
      <c r="AEY1474" s="1"/>
      <c r="AEZ1474" s="1"/>
      <c r="AFA1474" s="1"/>
      <c r="AFB1474" s="1"/>
      <c r="AFC1474" s="1"/>
      <c r="AFD1474" s="1"/>
      <c r="AFE1474" s="1"/>
      <c r="AFF1474" s="1"/>
      <c r="AFG1474" s="1"/>
      <c r="AFH1474" s="1"/>
      <c r="AFI1474" s="1"/>
      <c r="AFJ1474" s="1"/>
      <c r="AFK1474" s="1"/>
      <c r="AFL1474" s="1"/>
      <c r="AFM1474" s="1"/>
      <c r="AFN1474" s="1"/>
      <c r="AFO1474" s="1"/>
      <c r="AFP1474" s="1"/>
      <c r="AFQ1474" s="1"/>
      <c r="AFR1474" s="1"/>
      <c r="AFS1474" s="1"/>
      <c r="AFT1474" s="1"/>
      <c r="AFU1474" s="1"/>
      <c r="AFV1474" s="1"/>
      <c r="AFW1474" s="1"/>
      <c r="AFX1474" s="1"/>
      <c r="AFY1474" s="1"/>
      <c r="AFZ1474" s="1"/>
      <c r="AGA1474" s="1"/>
      <c r="AGB1474" s="1"/>
      <c r="AGC1474" s="1"/>
      <c r="AGD1474" s="1"/>
      <c r="AGE1474" s="1"/>
      <c r="AGF1474" s="1"/>
      <c r="AGG1474" s="1"/>
      <c r="AGH1474" s="1"/>
      <c r="AGI1474" s="1"/>
      <c r="AGJ1474" s="1"/>
      <c r="AGK1474" s="1"/>
      <c r="AGL1474" s="1"/>
      <c r="AGM1474" s="1"/>
      <c r="AGN1474" s="1"/>
      <c r="AGO1474" s="1"/>
      <c r="AGP1474" s="1"/>
      <c r="AGQ1474" s="1"/>
      <c r="AGR1474" s="1"/>
      <c r="AGS1474" s="1"/>
      <c r="AGT1474" s="1"/>
      <c r="AGU1474" s="1"/>
      <c r="AGV1474" s="1"/>
      <c r="AGW1474" s="1"/>
      <c r="AGX1474" s="1"/>
      <c r="AGY1474" s="1"/>
      <c r="AGZ1474" s="1"/>
      <c r="AHA1474" s="1"/>
      <c r="AHB1474" s="1"/>
      <c r="AHC1474" s="1"/>
      <c r="AHD1474" s="1"/>
      <c r="AHE1474" s="1"/>
      <c r="AHF1474" s="1"/>
      <c r="AHG1474" s="1"/>
      <c r="AHH1474" s="1"/>
      <c r="AHI1474" s="1"/>
      <c r="AHJ1474" s="1"/>
      <c r="AHK1474" s="1"/>
      <c r="AHL1474" s="1"/>
      <c r="AHM1474" s="1"/>
      <c r="AHN1474" s="1"/>
      <c r="AHO1474" s="1"/>
      <c r="AHP1474" s="1"/>
      <c r="AHQ1474" s="1"/>
      <c r="AHR1474" s="1"/>
      <c r="AHS1474" s="1"/>
      <c r="AHT1474" s="1"/>
      <c r="AHU1474" s="1"/>
      <c r="AHV1474" s="1"/>
      <c r="AHW1474" s="1"/>
      <c r="AHX1474" s="1"/>
      <c r="AHY1474" s="1"/>
      <c r="AHZ1474" s="1"/>
      <c r="AIA1474" s="1"/>
      <c r="AIB1474" s="1"/>
      <c r="AIC1474" s="1"/>
      <c r="AID1474" s="1"/>
      <c r="AIE1474" s="1"/>
      <c r="AIF1474" s="1"/>
      <c r="AIG1474" s="1"/>
      <c r="AIH1474" s="1"/>
      <c r="AII1474" s="1"/>
      <c r="AIJ1474" s="1"/>
      <c r="AIK1474" s="1"/>
      <c r="AIL1474" s="1"/>
      <c r="AIM1474" s="1"/>
      <c r="AIN1474" s="1"/>
      <c r="AIO1474" s="1"/>
      <c r="AIP1474" s="1"/>
      <c r="AIQ1474" s="1"/>
      <c r="AIR1474" s="1"/>
      <c r="AIS1474" s="1"/>
      <c r="AIT1474" s="1"/>
      <c r="AIU1474" s="1"/>
      <c r="AIV1474" s="1"/>
      <c r="AIW1474" s="1"/>
      <c r="AIX1474" s="1"/>
      <c r="AIY1474" s="1"/>
      <c r="AIZ1474" s="1"/>
      <c r="AJA1474" s="1"/>
      <c r="AJB1474" s="1"/>
      <c r="AJC1474" s="1"/>
      <c r="AJD1474" s="1"/>
      <c r="AJE1474" s="1"/>
      <c r="AJF1474" s="1"/>
      <c r="AJG1474" s="1"/>
      <c r="AJH1474" s="1"/>
      <c r="AJI1474" s="1"/>
      <c r="AJJ1474" s="1"/>
      <c r="AJK1474" s="1"/>
      <c r="AJL1474" s="1"/>
      <c r="AJM1474" s="1"/>
      <c r="AJN1474" s="1"/>
      <c r="AJO1474" s="1"/>
      <c r="AJP1474" s="1"/>
      <c r="AJQ1474" s="1"/>
      <c r="AJR1474" s="1"/>
      <c r="AJS1474" s="1"/>
      <c r="AJT1474" s="1"/>
      <c r="AJU1474" s="1"/>
      <c r="AJV1474" s="1"/>
      <c r="AJW1474" s="1"/>
      <c r="AJX1474" s="1"/>
      <c r="AJY1474" s="1"/>
      <c r="AJZ1474" s="1"/>
      <c r="AKA1474" s="1"/>
      <c r="AKB1474" s="1"/>
      <c r="AKC1474" s="1"/>
      <c r="AKD1474" s="1"/>
      <c r="AKE1474" s="1"/>
      <c r="AKF1474" s="1"/>
      <c r="AKG1474" s="1"/>
      <c r="AKH1474" s="1"/>
      <c r="AKI1474" s="1"/>
      <c r="AKJ1474" s="1"/>
      <c r="AKK1474" s="1"/>
      <c r="AKL1474" s="1"/>
      <c r="AKM1474" s="1"/>
      <c r="AKN1474" s="1"/>
      <c r="AKO1474" s="1"/>
      <c r="AKP1474" s="1"/>
      <c r="AKQ1474" s="1"/>
      <c r="AKR1474" s="1"/>
      <c r="AKS1474" s="1"/>
      <c r="AKT1474" s="1"/>
      <c r="AKU1474" s="1"/>
      <c r="AKV1474" s="1"/>
      <c r="AKW1474" s="1"/>
      <c r="AKX1474" s="1"/>
      <c r="AKY1474" s="1"/>
      <c r="AKZ1474" s="1"/>
      <c r="ALA1474" s="1"/>
      <c r="ALB1474" s="1"/>
      <c r="ALC1474" s="1"/>
      <c r="ALD1474" s="1"/>
      <c r="ALE1474" s="1"/>
      <c r="ALF1474" s="1"/>
      <c r="ALG1474" s="1"/>
      <c r="ALH1474" s="1"/>
      <c r="ALI1474" s="1"/>
      <c r="ALJ1474" s="1"/>
      <c r="ALK1474" s="1"/>
      <c r="ALL1474" s="1"/>
      <c r="ALM1474" s="1"/>
      <c r="ALN1474" s="1"/>
      <c r="ALO1474" s="1"/>
      <c r="ALP1474" s="1"/>
      <c r="ALQ1474" s="1"/>
      <c r="ALR1474" s="1"/>
      <c r="ALS1474" s="1"/>
      <c r="ALT1474" s="1"/>
      <c r="ALU1474" s="1"/>
      <c r="ALV1474" s="1"/>
      <c r="ALW1474" s="1"/>
      <c r="ALX1474" s="1"/>
      <c r="ALY1474" s="1"/>
      <c r="ALZ1474" s="1"/>
      <c r="AMA1474" s="1"/>
      <c r="AMB1474" s="1"/>
      <c r="AMC1474" s="1"/>
      <c r="AMD1474" s="1"/>
      <c r="AME1474" s="1"/>
      <c r="AMF1474" s="1"/>
      <c r="AMG1474" s="1"/>
      <c r="AMH1474" s="1"/>
      <c r="AMI1474" s="1"/>
      <c r="AMJ1474" s="1"/>
      <c r="AMK1474" s="1"/>
    </row>
    <row r="1475" spans="1:1025" s="2" customFormat="1" ht="63.6" hidden="1" customHeight="1" x14ac:dyDescent="0.25">
      <c r="A1475" s="201"/>
      <c r="B1475" s="202"/>
      <c r="C1475" s="202"/>
      <c r="D1475" s="202"/>
      <c r="E1475" s="202"/>
      <c r="F1475" s="202"/>
      <c r="G1475" s="202"/>
      <c r="H1475" s="202"/>
      <c r="I1475" s="203"/>
      <c r="J1475" s="226" t="s">
        <v>1001</v>
      </c>
      <c r="K1475" s="227">
        <f t="shared" si="26"/>
        <v>1600</v>
      </c>
      <c r="L1475" s="228" t="s">
        <v>3</v>
      </c>
      <c r="M1475" s="908">
        <f t="shared" si="27"/>
        <v>50</v>
      </c>
      <c r="N1475" s="194"/>
      <c r="O1475" s="55"/>
      <c r="P1475" s="226" t="s">
        <v>1001</v>
      </c>
      <c r="Q1475" s="227">
        <f t="shared" si="28"/>
        <v>15415</v>
      </c>
      <c r="R1475" s="228" t="s">
        <v>3</v>
      </c>
      <c r="S1475" s="229">
        <f t="shared" si="29"/>
        <v>9500</v>
      </c>
      <c r="T1475" s="194"/>
      <c r="U1475" s="228"/>
      <c r="V1475" s="226" t="s">
        <v>1001</v>
      </c>
      <c r="W1475" s="227">
        <f t="shared" si="30"/>
        <v>23230</v>
      </c>
      <c r="X1475" s="228" t="s">
        <v>3</v>
      </c>
      <c r="Y1475" s="229">
        <f t="shared" si="31"/>
        <v>11015</v>
      </c>
      <c r="Z1475" s="194"/>
      <c r="AA1475" s="55"/>
      <c r="AB1475" s="226" t="s">
        <v>1001</v>
      </c>
      <c r="AC1475" s="227">
        <f t="shared" si="32"/>
        <v>23230</v>
      </c>
      <c r="AD1475" s="228" t="s">
        <v>3</v>
      </c>
      <c r="AE1475" s="229">
        <f t="shared" si="33"/>
        <v>11015</v>
      </c>
      <c r="AF1475" s="194"/>
      <c r="AG1475" s="55"/>
      <c r="AH1475" s="226" t="s">
        <v>1001</v>
      </c>
      <c r="AI1475" s="227">
        <f t="shared" si="34"/>
        <v>24130</v>
      </c>
      <c r="AJ1475" s="228" t="s">
        <v>3</v>
      </c>
      <c r="AK1475" s="229">
        <f t="shared" si="35"/>
        <v>12215</v>
      </c>
      <c r="AL1475" s="194"/>
      <c r="AM1475" s="55"/>
      <c r="AN1475" s="226" t="s">
        <v>1001</v>
      </c>
      <c r="AO1475" s="227">
        <f t="shared" si="36"/>
        <v>24730</v>
      </c>
      <c r="AP1475" s="228" t="s">
        <v>3</v>
      </c>
      <c r="AQ1475" s="229">
        <f t="shared" si="37"/>
        <v>12715</v>
      </c>
      <c r="AR1475" s="1170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  <c r="EA1475" s="1"/>
      <c r="EB1475" s="1"/>
      <c r="EC1475" s="1"/>
      <c r="ED1475" s="1"/>
      <c r="EE1475" s="1"/>
      <c r="EF1475" s="1"/>
      <c r="EG1475" s="1"/>
      <c r="EH1475" s="1"/>
      <c r="EI1475" s="1"/>
      <c r="EJ1475" s="1"/>
      <c r="EK1475" s="1"/>
      <c r="EL1475" s="1"/>
      <c r="EM1475" s="1"/>
      <c r="EN1475" s="1"/>
      <c r="EO1475" s="1"/>
      <c r="EP1475" s="1"/>
      <c r="EQ1475" s="1"/>
      <c r="ER1475" s="1"/>
      <c r="ES1475" s="1"/>
      <c r="ET1475" s="1"/>
      <c r="EU1475" s="1"/>
      <c r="EV1475" s="1"/>
      <c r="EW1475" s="1"/>
      <c r="EX1475" s="1"/>
      <c r="EY1475" s="1"/>
      <c r="EZ1475" s="1"/>
      <c r="FA1475" s="1"/>
      <c r="FB1475" s="1"/>
      <c r="FC1475" s="1"/>
      <c r="FD1475" s="1"/>
      <c r="FE1475" s="1"/>
      <c r="FF1475" s="1"/>
      <c r="FG1475" s="1"/>
      <c r="FH1475" s="1"/>
      <c r="FI1475" s="1"/>
      <c r="FJ1475" s="1"/>
      <c r="FK1475" s="1"/>
      <c r="FL1475" s="1"/>
      <c r="FM1475" s="1"/>
      <c r="FN1475" s="1"/>
      <c r="FO1475" s="1"/>
      <c r="FP1475" s="1"/>
      <c r="FQ1475" s="1"/>
      <c r="FR1475" s="1"/>
      <c r="FS1475" s="1"/>
      <c r="FT1475" s="1"/>
      <c r="FU1475" s="1"/>
      <c r="FV1475" s="1"/>
      <c r="FW1475" s="1"/>
      <c r="FX1475" s="1"/>
      <c r="FY1475" s="1"/>
      <c r="FZ1475" s="1"/>
      <c r="GA1475" s="1"/>
      <c r="GB1475" s="1"/>
      <c r="GC1475" s="1"/>
      <c r="GD1475" s="1"/>
      <c r="GE1475" s="1"/>
      <c r="GF1475" s="1"/>
      <c r="GG1475" s="1"/>
      <c r="GH1475" s="1"/>
      <c r="GI1475" s="1"/>
      <c r="GJ1475" s="1"/>
      <c r="GK1475" s="1"/>
      <c r="GL1475" s="1"/>
      <c r="GM1475" s="1"/>
      <c r="GN1475" s="1"/>
      <c r="GO1475" s="1"/>
      <c r="GP1475" s="1"/>
      <c r="GQ1475" s="1"/>
      <c r="GR1475" s="1"/>
      <c r="GS1475" s="1"/>
      <c r="GT1475" s="1"/>
      <c r="GU1475" s="1"/>
      <c r="GV1475" s="1"/>
      <c r="GW1475" s="1"/>
      <c r="GX1475" s="1"/>
      <c r="GY1475" s="1"/>
      <c r="GZ1475" s="1"/>
      <c r="HA1475" s="1"/>
      <c r="HB1475" s="1"/>
      <c r="HC1475" s="1"/>
      <c r="HD1475" s="1"/>
      <c r="HE1475" s="1"/>
      <c r="HF1475" s="1"/>
      <c r="HG1475" s="1"/>
      <c r="HH1475" s="1"/>
      <c r="HI1475" s="1"/>
      <c r="HJ1475" s="1"/>
      <c r="HK1475" s="1"/>
      <c r="HL1475" s="1"/>
      <c r="HM1475" s="1"/>
      <c r="HN1475" s="1"/>
      <c r="HO1475" s="1"/>
      <c r="HP1475" s="1"/>
      <c r="HQ1475" s="1"/>
      <c r="HR1475" s="1"/>
      <c r="HS1475" s="1"/>
      <c r="HT1475" s="1"/>
      <c r="HU1475" s="1"/>
      <c r="HV1475" s="1"/>
      <c r="HW1475" s="1"/>
      <c r="HX1475" s="1"/>
      <c r="HY1475" s="1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  <c r="IU1475" s="1"/>
      <c r="IV1475" s="1"/>
      <c r="IW1475" s="1"/>
      <c r="IX1475" s="1"/>
      <c r="IY1475" s="1"/>
      <c r="IZ1475" s="1"/>
      <c r="JA1475" s="1"/>
      <c r="JB1475" s="1"/>
      <c r="JC1475" s="1"/>
      <c r="JD1475" s="1"/>
      <c r="JE1475" s="1"/>
      <c r="JF1475" s="1"/>
      <c r="JG1475" s="1"/>
      <c r="JH1475" s="1"/>
      <c r="JI1475" s="1"/>
      <c r="JJ1475" s="1"/>
      <c r="JK1475" s="1"/>
      <c r="JL1475" s="1"/>
      <c r="JM1475" s="1"/>
      <c r="JN1475" s="1"/>
      <c r="JO1475" s="1"/>
      <c r="JP1475" s="1"/>
      <c r="JQ1475" s="1"/>
      <c r="JR1475" s="1"/>
      <c r="JS1475" s="1"/>
      <c r="JT1475" s="1"/>
      <c r="JU1475" s="1"/>
      <c r="JV1475" s="1"/>
      <c r="JW1475" s="1"/>
      <c r="JX1475" s="1"/>
      <c r="JY1475" s="1"/>
      <c r="JZ1475" s="1"/>
      <c r="KA1475" s="1"/>
      <c r="KB1475" s="1"/>
      <c r="KC1475" s="1"/>
      <c r="KD1475" s="1"/>
      <c r="KE1475" s="1"/>
      <c r="KF1475" s="1"/>
      <c r="KG1475" s="1"/>
      <c r="KH1475" s="1"/>
      <c r="KI1475" s="1"/>
      <c r="KJ1475" s="1"/>
      <c r="KK1475" s="1"/>
      <c r="KL1475" s="1"/>
      <c r="KM1475" s="1"/>
      <c r="KN1475" s="1"/>
      <c r="KO1475" s="1"/>
      <c r="KP1475" s="1"/>
      <c r="KQ1475" s="1"/>
      <c r="KR1475" s="1"/>
      <c r="KS1475" s="1"/>
      <c r="KT1475" s="1"/>
      <c r="KU1475" s="1"/>
      <c r="KV1475" s="1"/>
      <c r="KW1475" s="1"/>
      <c r="KX1475" s="1"/>
      <c r="KY1475" s="1"/>
      <c r="KZ1475" s="1"/>
      <c r="LA1475" s="1"/>
      <c r="LB1475" s="1"/>
      <c r="LC1475" s="1"/>
      <c r="LD1475" s="1"/>
      <c r="LE1475" s="1"/>
      <c r="LF1475" s="1"/>
      <c r="LG1475" s="1"/>
      <c r="LH1475" s="1"/>
      <c r="LI1475" s="1"/>
      <c r="LJ1475" s="1"/>
      <c r="LK1475" s="1"/>
      <c r="LL1475" s="1"/>
      <c r="LM1475" s="1"/>
      <c r="LN1475" s="1"/>
      <c r="LO1475" s="1"/>
      <c r="LP1475" s="1"/>
      <c r="LQ1475" s="1"/>
      <c r="LR1475" s="1"/>
      <c r="LS1475" s="1"/>
      <c r="LT1475" s="1"/>
      <c r="LU1475" s="1"/>
      <c r="LV1475" s="1"/>
      <c r="LW1475" s="1"/>
      <c r="LX1475" s="1"/>
      <c r="LY1475" s="1"/>
      <c r="LZ1475" s="1"/>
      <c r="MA1475" s="1"/>
      <c r="MB1475" s="1"/>
      <c r="MC1475" s="1"/>
      <c r="MD1475" s="1"/>
      <c r="ME1475" s="1"/>
      <c r="MF1475" s="1"/>
      <c r="MG1475" s="1"/>
      <c r="MH1475" s="1"/>
      <c r="MI1475" s="1"/>
      <c r="MJ1475" s="1"/>
      <c r="MK1475" s="1"/>
      <c r="ML1475" s="1"/>
      <c r="MM1475" s="1"/>
      <c r="MN1475" s="1"/>
      <c r="MO1475" s="1"/>
      <c r="MP1475" s="1"/>
      <c r="MQ1475" s="1"/>
      <c r="MR1475" s="1"/>
      <c r="MS1475" s="1"/>
      <c r="MT1475" s="1"/>
      <c r="MU1475" s="1"/>
      <c r="MV1475" s="1"/>
      <c r="MW1475" s="1"/>
      <c r="MX1475" s="1"/>
      <c r="MY1475" s="1"/>
      <c r="MZ1475" s="1"/>
      <c r="NA1475" s="1"/>
      <c r="NB1475" s="1"/>
      <c r="NC1475" s="1"/>
      <c r="ND1475" s="1"/>
      <c r="NE1475" s="1"/>
      <c r="NF1475" s="1"/>
      <c r="NG1475" s="1"/>
      <c r="NH1475" s="1"/>
      <c r="NI1475" s="1"/>
      <c r="NJ1475" s="1"/>
      <c r="NK1475" s="1"/>
      <c r="NL1475" s="1"/>
      <c r="NM1475" s="1"/>
      <c r="NN1475" s="1"/>
      <c r="NO1475" s="1"/>
      <c r="NP1475" s="1"/>
      <c r="NQ1475" s="1"/>
      <c r="NR1475" s="1"/>
      <c r="NS1475" s="1"/>
      <c r="NT1475" s="1"/>
      <c r="NU1475" s="1"/>
      <c r="NV1475" s="1"/>
      <c r="NW1475" s="1"/>
      <c r="NX1475" s="1"/>
      <c r="NY1475" s="1"/>
      <c r="NZ1475" s="1"/>
      <c r="OA1475" s="1"/>
      <c r="OB1475" s="1"/>
      <c r="OC1475" s="1"/>
      <c r="OD1475" s="1"/>
      <c r="OE1475" s="1"/>
      <c r="OF1475" s="1"/>
      <c r="OG1475" s="1"/>
      <c r="OH1475" s="1"/>
      <c r="OI1475" s="1"/>
      <c r="OJ1475" s="1"/>
      <c r="OK1475" s="1"/>
      <c r="OL1475" s="1"/>
      <c r="OM1475" s="1"/>
      <c r="ON1475" s="1"/>
      <c r="OO1475" s="1"/>
      <c r="OP1475" s="1"/>
      <c r="OQ1475" s="1"/>
      <c r="OR1475" s="1"/>
      <c r="OS1475" s="1"/>
      <c r="OT1475" s="1"/>
      <c r="OU1475" s="1"/>
      <c r="OV1475" s="1"/>
      <c r="OW1475" s="1"/>
      <c r="OX1475" s="1"/>
      <c r="OY1475" s="1"/>
      <c r="OZ1475" s="1"/>
      <c r="PA1475" s="1"/>
      <c r="PB1475" s="1"/>
      <c r="PC1475" s="1"/>
      <c r="PD1475" s="1"/>
      <c r="PE1475" s="1"/>
      <c r="PF1475" s="1"/>
      <c r="PG1475" s="1"/>
      <c r="PH1475" s="1"/>
      <c r="PI1475" s="1"/>
      <c r="PJ1475" s="1"/>
      <c r="PK1475" s="1"/>
      <c r="PL1475" s="1"/>
      <c r="PM1475" s="1"/>
      <c r="PN1475" s="1"/>
      <c r="PO1475" s="1"/>
      <c r="PP1475" s="1"/>
      <c r="PQ1475" s="1"/>
      <c r="PR1475" s="1"/>
      <c r="PS1475" s="1"/>
      <c r="PT1475" s="1"/>
      <c r="PU1475" s="1"/>
      <c r="PV1475" s="1"/>
      <c r="PW1475" s="1"/>
      <c r="PX1475" s="1"/>
      <c r="PY1475" s="1"/>
      <c r="PZ1475" s="1"/>
      <c r="QA1475" s="1"/>
      <c r="QB1475" s="1"/>
      <c r="QC1475" s="1"/>
      <c r="QD1475" s="1"/>
      <c r="QE1475" s="1"/>
      <c r="QF1475" s="1"/>
      <c r="QG1475" s="1"/>
      <c r="QH1475" s="1"/>
      <c r="QI1475" s="1"/>
      <c r="QJ1475" s="1"/>
      <c r="QK1475" s="1"/>
      <c r="QL1475" s="1"/>
      <c r="QM1475" s="1"/>
      <c r="QN1475" s="1"/>
      <c r="QO1475" s="1"/>
      <c r="QP1475" s="1"/>
      <c r="QQ1475" s="1"/>
      <c r="QR1475" s="1"/>
      <c r="QS1475" s="1"/>
      <c r="QT1475" s="1"/>
      <c r="QU1475" s="1"/>
      <c r="QV1475" s="1"/>
      <c r="QW1475" s="1"/>
      <c r="QX1475" s="1"/>
      <c r="QY1475" s="1"/>
      <c r="QZ1475" s="1"/>
      <c r="RA1475" s="1"/>
      <c r="RB1475" s="1"/>
      <c r="RC1475" s="1"/>
      <c r="RD1475" s="1"/>
      <c r="RE1475" s="1"/>
      <c r="RF1475" s="1"/>
      <c r="RG1475" s="1"/>
      <c r="RH1475" s="1"/>
      <c r="RI1475" s="1"/>
      <c r="RJ1475" s="1"/>
      <c r="RK1475" s="1"/>
      <c r="RL1475" s="1"/>
      <c r="RM1475" s="1"/>
      <c r="RN1475" s="1"/>
      <c r="RO1475" s="1"/>
      <c r="RP1475" s="1"/>
      <c r="RQ1475" s="1"/>
      <c r="RR1475" s="1"/>
      <c r="RS1475" s="1"/>
      <c r="RT1475" s="1"/>
      <c r="RU1475" s="1"/>
      <c r="RV1475" s="1"/>
      <c r="RW1475" s="1"/>
      <c r="RX1475" s="1"/>
      <c r="RY1475" s="1"/>
      <c r="RZ1475" s="1"/>
      <c r="SA1475" s="1"/>
      <c r="SB1475" s="1"/>
      <c r="SC1475" s="1"/>
      <c r="SD1475" s="1"/>
      <c r="SE1475" s="1"/>
      <c r="SF1475" s="1"/>
      <c r="SG1475" s="1"/>
      <c r="SH1475" s="1"/>
      <c r="SI1475" s="1"/>
      <c r="SJ1475" s="1"/>
      <c r="SK1475" s="1"/>
      <c r="SL1475" s="1"/>
      <c r="SM1475" s="1"/>
      <c r="SN1475" s="1"/>
      <c r="SO1475" s="1"/>
      <c r="SP1475" s="1"/>
      <c r="SQ1475" s="1"/>
      <c r="SR1475" s="1"/>
      <c r="SS1475" s="1"/>
      <c r="ST1475" s="1"/>
      <c r="SU1475" s="1"/>
      <c r="SV1475" s="1"/>
      <c r="SW1475" s="1"/>
      <c r="SX1475" s="1"/>
      <c r="SY1475" s="1"/>
      <c r="SZ1475" s="1"/>
      <c r="TA1475" s="1"/>
      <c r="TB1475" s="1"/>
      <c r="TC1475" s="1"/>
      <c r="TD1475" s="1"/>
      <c r="TE1475" s="1"/>
      <c r="TF1475" s="1"/>
      <c r="TG1475" s="1"/>
      <c r="TH1475" s="1"/>
      <c r="TI1475" s="1"/>
      <c r="TJ1475" s="1"/>
      <c r="TK1475" s="1"/>
      <c r="TL1475" s="1"/>
      <c r="TM1475" s="1"/>
      <c r="TN1475" s="1"/>
      <c r="TO1475" s="1"/>
      <c r="TP1475" s="1"/>
      <c r="TQ1475" s="1"/>
      <c r="TR1475" s="1"/>
      <c r="TS1475" s="1"/>
      <c r="TT1475" s="1"/>
      <c r="TU1475" s="1"/>
      <c r="TV1475" s="1"/>
      <c r="TW1475" s="1"/>
      <c r="TX1475" s="1"/>
      <c r="TY1475" s="1"/>
      <c r="TZ1475" s="1"/>
      <c r="UA1475" s="1"/>
      <c r="UB1475" s="1"/>
      <c r="UC1475" s="1"/>
      <c r="UD1475" s="1"/>
      <c r="UE1475" s="1"/>
      <c r="UF1475" s="1"/>
      <c r="UG1475" s="1"/>
      <c r="UH1475" s="1"/>
      <c r="UI1475" s="1"/>
      <c r="UJ1475" s="1"/>
      <c r="UK1475" s="1"/>
      <c r="UL1475" s="1"/>
      <c r="UM1475" s="1"/>
      <c r="UN1475" s="1"/>
      <c r="UO1475" s="1"/>
      <c r="UP1475" s="1"/>
      <c r="UQ1475" s="1"/>
      <c r="UR1475" s="1"/>
      <c r="US1475" s="1"/>
      <c r="UT1475" s="1"/>
      <c r="UU1475" s="1"/>
      <c r="UV1475" s="1"/>
      <c r="UW1475" s="1"/>
      <c r="UX1475" s="1"/>
      <c r="UY1475" s="1"/>
      <c r="UZ1475" s="1"/>
      <c r="VA1475" s="1"/>
      <c r="VB1475" s="1"/>
      <c r="VC1475" s="1"/>
      <c r="VD1475" s="1"/>
      <c r="VE1475" s="1"/>
      <c r="VF1475" s="1"/>
      <c r="VG1475" s="1"/>
      <c r="VH1475" s="1"/>
      <c r="VI1475" s="1"/>
      <c r="VJ1475" s="1"/>
      <c r="VK1475" s="1"/>
      <c r="VL1475" s="1"/>
      <c r="VM1475" s="1"/>
      <c r="VN1475" s="1"/>
      <c r="VO1475" s="1"/>
      <c r="VP1475" s="1"/>
      <c r="VQ1475" s="1"/>
      <c r="VR1475" s="1"/>
      <c r="VS1475" s="1"/>
      <c r="VT1475" s="1"/>
      <c r="VU1475" s="1"/>
      <c r="VV1475" s="1"/>
      <c r="VW1475" s="1"/>
      <c r="VX1475" s="1"/>
      <c r="VY1475" s="1"/>
      <c r="VZ1475" s="1"/>
      <c r="WA1475" s="1"/>
      <c r="WB1475" s="1"/>
      <c r="WC1475" s="1"/>
      <c r="WD1475" s="1"/>
      <c r="WE1475" s="1"/>
      <c r="WF1475" s="1"/>
      <c r="WG1475" s="1"/>
      <c r="WH1475" s="1"/>
      <c r="WI1475" s="1"/>
      <c r="WJ1475" s="1"/>
      <c r="WK1475" s="1"/>
      <c r="WL1475" s="1"/>
      <c r="WM1475" s="1"/>
      <c r="WN1475" s="1"/>
      <c r="WO1475" s="1"/>
      <c r="WP1475" s="1"/>
      <c r="WQ1475" s="1"/>
      <c r="WR1475" s="1"/>
      <c r="WS1475" s="1"/>
      <c r="WT1475" s="1"/>
      <c r="WU1475" s="1"/>
      <c r="WV1475" s="1"/>
      <c r="WW1475" s="1"/>
      <c r="WX1475" s="1"/>
      <c r="WY1475" s="1"/>
      <c r="WZ1475" s="1"/>
      <c r="XA1475" s="1"/>
      <c r="XB1475" s="1"/>
      <c r="XC1475" s="1"/>
      <c r="XD1475" s="1"/>
      <c r="XE1475" s="1"/>
      <c r="XF1475" s="1"/>
      <c r="XG1475" s="1"/>
      <c r="XH1475" s="1"/>
      <c r="XI1475" s="1"/>
      <c r="XJ1475" s="1"/>
      <c r="XK1475" s="1"/>
      <c r="XL1475" s="1"/>
      <c r="XM1475" s="1"/>
      <c r="XN1475" s="1"/>
      <c r="XO1475" s="1"/>
      <c r="XP1475" s="1"/>
      <c r="XQ1475" s="1"/>
      <c r="XR1475" s="1"/>
      <c r="XS1475" s="1"/>
      <c r="XT1475" s="1"/>
      <c r="XU1475" s="1"/>
      <c r="XV1475" s="1"/>
      <c r="XW1475" s="1"/>
      <c r="XX1475" s="1"/>
      <c r="XY1475" s="1"/>
      <c r="XZ1475" s="1"/>
      <c r="YA1475" s="1"/>
      <c r="YB1475" s="1"/>
      <c r="YC1475" s="1"/>
      <c r="YD1475" s="1"/>
      <c r="YE1475" s="1"/>
      <c r="YF1475" s="1"/>
      <c r="YG1475" s="1"/>
      <c r="YH1475" s="1"/>
      <c r="YI1475" s="1"/>
      <c r="YJ1475" s="1"/>
      <c r="YK1475" s="1"/>
      <c r="YL1475" s="1"/>
      <c r="YM1475" s="1"/>
      <c r="YN1475" s="1"/>
      <c r="YO1475" s="1"/>
      <c r="YP1475" s="1"/>
      <c r="YQ1475" s="1"/>
      <c r="YR1475" s="1"/>
      <c r="YS1475" s="1"/>
      <c r="YT1475" s="1"/>
      <c r="YU1475" s="1"/>
      <c r="YV1475" s="1"/>
      <c r="YW1475" s="1"/>
      <c r="YX1475" s="1"/>
      <c r="YY1475" s="1"/>
      <c r="YZ1475" s="1"/>
      <c r="ZA1475" s="1"/>
      <c r="ZB1475" s="1"/>
      <c r="ZC1475" s="1"/>
      <c r="ZD1475" s="1"/>
      <c r="ZE1475" s="1"/>
      <c r="ZF1475" s="1"/>
      <c r="ZG1475" s="1"/>
      <c r="ZH1475" s="1"/>
      <c r="ZI1475" s="1"/>
      <c r="ZJ1475" s="1"/>
      <c r="ZK1475" s="1"/>
      <c r="ZL1475" s="1"/>
      <c r="ZM1475" s="1"/>
      <c r="ZN1475" s="1"/>
      <c r="ZO1475" s="1"/>
      <c r="ZP1475" s="1"/>
      <c r="ZQ1475" s="1"/>
      <c r="ZR1475" s="1"/>
      <c r="ZS1475" s="1"/>
      <c r="ZT1475" s="1"/>
      <c r="ZU1475" s="1"/>
      <c r="ZV1475" s="1"/>
      <c r="ZW1475" s="1"/>
      <c r="ZX1475" s="1"/>
      <c r="ZY1475" s="1"/>
      <c r="ZZ1475" s="1"/>
      <c r="AAA1475" s="1"/>
      <c r="AAB1475" s="1"/>
      <c r="AAC1475" s="1"/>
      <c r="AAD1475" s="1"/>
      <c r="AAE1475" s="1"/>
      <c r="AAF1475" s="1"/>
      <c r="AAG1475" s="1"/>
      <c r="AAH1475" s="1"/>
      <c r="AAI1475" s="1"/>
      <c r="AAJ1475" s="1"/>
      <c r="AAK1475" s="1"/>
      <c r="AAL1475" s="1"/>
      <c r="AAM1475" s="1"/>
      <c r="AAN1475" s="1"/>
      <c r="AAO1475" s="1"/>
      <c r="AAP1475" s="1"/>
      <c r="AAQ1475" s="1"/>
      <c r="AAR1475" s="1"/>
      <c r="AAS1475" s="1"/>
      <c r="AAT1475" s="1"/>
      <c r="AAU1475" s="1"/>
      <c r="AAV1475" s="1"/>
      <c r="AAW1475" s="1"/>
      <c r="AAX1475" s="1"/>
      <c r="AAY1475" s="1"/>
      <c r="AAZ1475" s="1"/>
      <c r="ABA1475" s="1"/>
      <c r="ABB1475" s="1"/>
      <c r="ABC1475" s="1"/>
      <c r="ABD1475" s="1"/>
      <c r="ABE1475" s="1"/>
      <c r="ABF1475" s="1"/>
      <c r="ABG1475" s="1"/>
      <c r="ABH1475" s="1"/>
      <c r="ABI1475" s="1"/>
      <c r="ABJ1475" s="1"/>
      <c r="ABK1475" s="1"/>
      <c r="ABL1475" s="1"/>
      <c r="ABM1475" s="1"/>
      <c r="ABN1475" s="1"/>
      <c r="ABO1475" s="1"/>
      <c r="ABP1475" s="1"/>
      <c r="ABQ1475" s="1"/>
      <c r="ABR1475" s="1"/>
      <c r="ABS1475" s="1"/>
      <c r="ABT1475" s="1"/>
      <c r="ABU1475" s="1"/>
      <c r="ABV1475" s="1"/>
      <c r="ABW1475" s="1"/>
      <c r="ABX1475" s="1"/>
      <c r="ABY1475" s="1"/>
      <c r="ABZ1475" s="1"/>
      <c r="ACA1475" s="1"/>
      <c r="ACB1475" s="1"/>
      <c r="ACC1475" s="1"/>
      <c r="ACD1475" s="1"/>
      <c r="ACE1475" s="1"/>
      <c r="ACF1475" s="1"/>
      <c r="ACG1475" s="1"/>
      <c r="ACH1475" s="1"/>
      <c r="ACI1475" s="1"/>
      <c r="ACJ1475" s="1"/>
      <c r="ACK1475" s="1"/>
      <c r="ACL1475" s="1"/>
      <c r="ACM1475" s="1"/>
      <c r="ACN1475" s="1"/>
      <c r="ACO1475" s="1"/>
      <c r="ACP1475" s="1"/>
      <c r="ACQ1475" s="1"/>
      <c r="ACR1475" s="1"/>
      <c r="ACS1475" s="1"/>
      <c r="ACT1475" s="1"/>
      <c r="ACU1475" s="1"/>
      <c r="ACV1475" s="1"/>
      <c r="ACW1475" s="1"/>
      <c r="ACX1475" s="1"/>
      <c r="ACY1475" s="1"/>
      <c r="ACZ1475" s="1"/>
      <c r="ADA1475" s="1"/>
      <c r="ADB1475" s="1"/>
      <c r="ADC1475" s="1"/>
      <c r="ADD1475" s="1"/>
      <c r="ADE1475" s="1"/>
      <c r="ADF1475" s="1"/>
      <c r="ADG1475" s="1"/>
      <c r="ADH1475" s="1"/>
      <c r="ADI1475" s="1"/>
      <c r="ADJ1475" s="1"/>
      <c r="ADK1475" s="1"/>
      <c r="ADL1475" s="1"/>
      <c r="ADM1475" s="1"/>
      <c r="ADN1475" s="1"/>
      <c r="ADO1475" s="1"/>
      <c r="ADP1475" s="1"/>
      <c r="ADQ1475" s="1"/>
      <c r="ADR1475" s="1"/>
      <c r="ADS1475" s="1"/>
      <c r="ADT1475" s="1"/>
      <c r="ADU1475" s="1"/>
      <c r="ADV1475" s="1"/>
      <c r="ADW1475" s="1"/>
      <c r="ADX1475" s="1"/>
      <c r="ADY1475" s="1"/>
      <c r="ADZ1475" s="1"/>
      <c r="AEA1475" s="1"/>
      <c r="AEB1475" s="1"/>
      <c r="AEC1475" s="1"/>
      <c r="AED1475" s="1"/>
      <c r="AEE1475" s="1"/>
      <c r="AEF1475" s="1"/>
      <c r="AEG1475" s="1"/>
      <c r="AEH1475" s="1"/>
      <c r="AEI1475" s="1"/>
      <c r="AEJ1475" s="1"/>
      <c r="AEK1475" s="1"/>
      <c r="AEL1475" s="1"/>
      <c r="AEM1475" s="1"/>
      <c r="AEN1475" s="1"/>
      <c r="AEO1475" s="1"/>
      <c r="AEP1475" s="1"/>
      <c r="AEQ1475" s="1"/>
      <c r="AER1475" s="1"/>
      <c r="AES1475" s="1"/>
      <c r="AET1475" s="1"/>
      <c r="AEU1475" s="1"/>
      <c r="AEV1475" s="1"/>
      <c r="AEW1475" s="1"/>
      <c r="AEX1475" s="1"/>
      <c r="AEY1475" s="1"/>
      <c r="AEZ1475" s="1"/>
      <c r="AFA1475" s="1"/>
      <c r="AFB1475" s="1"/>
      <c r="AFC1475" s="1"/>
      <c r="AFD1475" s="1"/>
      <c r="AFE1475" s="1"/>
      <c r="AFF1475" s="1"/>
      <c r="AFG1475" s="1"/>
      <c r="AFH1475" s="1"/>
      <c r="AFI1475" s="1"/>
      <c r="AFJ1475" s="1"/>
      <c r="AFK1475" s="1"/>
      <c r="AFL1475" s="1"/>
      <c r="AFM1475" s="1"/>
      <c r="AFN1475" s="1"/>
      <c r="AFO1475" s="1"/>
      <c r="AFP1475" s="1"/>
      <c r="AFQ1475" s="1"/>
      <c r="AFR1475" s="1"/>
      <c r="AFS1475" s="1"/>
      <c r="AFT1475" s="1"/>
      <c r="AFU1475" s="1"/>
      <c r="AFV1475" s="1"/>
      <c r="AFW1475" s="1"/>
      <c r="AFX1475" s="1"/>
      <c r="AFY1475" s="1"/>
      <c r="AFZ1475" s="1"/>
      <c r="AGA1475" s="1"/>
      <c r="AGB1475" s="1"/>
      <c r="AGC1475" s="1"/>
      <c r="AGD1475" s="1"/>
      <c r="AGE1475" s="1"/>
      <c r="AGF1475" s="1"/>
      <c r="AGG1475" s="1"/>
      <c r="AGH1475" s="1"/>
      <c r="AGI1475" s="1"/>
      <c r="AGJ1475" s="1"/>
      <c r="AGK1475" s="1"/>
      <c r="AGL1475" s="1"/>
      <c r="AGM1475" s="1"/>
      <c r="AGN1475" s="1"/>
      <c r="AGO1475" s="1"/>
      <c r="AGP1475" s="1"/>
      <c r="AGQ1475" s="1"/>
      <c r="AGR1475" s="1"/>
      <c r="AGS1475" s="1"/>
      <c r="AGT1475" s="1"/>
      <c r="AGU1475" s="1"/>
      <c r="AGV1475" s="1"/>
      <c r="AGW1475" s="1"/>
      <c r="AGX1475" s="1"/>
      <c r="AGY1475" s="1"/>
      <c r="AGZ1475" s="1"/>
      <c r="AHA1475" s="1"/>
      <c r="AHB1475" s="1"/>
      <c r="AHC1475" s="1"/>
      <c r="AHD1475" s="1"/>
      <c r="AHE1475" s="1"/>
      <c r="AHF1475" s="1"/>
      <c r="AHG1475" s="1"/>
      <c r="AHH1475" s="1"/>
      <c r="AHI1475" s="1"/>
      <c r="AHJ1475" s="1"/>
      <c r="AHK1475" s="1"/>
      <c r="AHL1475" s="1"/>
      <c r="AHM1475" s="1"/>
      <c r="AHN1475" s="1"/>
      <c r="AHO1475" s="1"/>
      <c r="AHP1475" s="1"/>
      <c r="AHQ1475" s="1"/>
      <c r="AHR1475" s="1"/>
      <c r="AHS1475" s="1"/>
      <c r="AHT1475" s="1"/>
      <c r="AHU1475" s="1"/>
      <c r="AHV1475" s="1"/>
      <c r="AHW1475" s="1"/>
      <c r="AHX1475" s="1"/>
      <c r="AHY1475" s="1"/>
      <c r="AHZ1475" s="1"/>
      <c r="AIA1475" s="1"/>
      <c r="AIB1475" s="1"/>
      <c r="AIC1475" s="1"/>
      <c r="AID1475" s="1"/>
      <c r="AIE1475" s="1"/>
      <c r="AIF1475" s="1"/>
      <c r="AIG1475" s="1"/>
      <c r="AIH1475" s="1"/>
      <c r="AII1475" s="1"/>
      <c r="AIJ1475" s="1"/>
      <c r="AIK1475" s="1"/>
      <c r="AIL1475" s="1"/>
      <c r="AIM1475" s="1"/>
      <c r="AIN1475" s="1"/>
      <c r="AIO1475" s="1"/>
      <c r="AIP1475" s="1"/>
      <c r="AIQ1475" s="1"/>
      <c r="AIR1475" s="1"/>
      <c r="AIS1475" s="1"/>
      <c r="AIT1475" s="1"/>
      <c r="AIU1475" s="1"/>
      <c r="AIV1475" s="1"/>
      <c r="AIW1475" s="1"/>
      <c r="AIX1475" s="1"/>
      <c r="AIY1475" s="1"/>
      <c r="AIZ1475" s="1"/>
      <c r="AJA1475" s="1"/>
      <c r="AJB1475" s="1"/>
      <c r="AJC1475" s="1"/>
      <c r="AJD1475" s="1"/>
      <c r="AJE1475" s="1"/>
      <c r="AJF1475" s="1"/>
      <c r="AJG1475" s="1"/>
      <c r="AJH1475" s="1"/>
      <c r="AJI1475" s="1"/>
      <c r="AJJ1475" s="1"/>
      <c r="AJK1475" s="1"/>
      <c r="AJL1475" s="1"/>
      <c r="AJM1475" s="1"/>
      <c r="AJN1475" s="1"/>
      <c r="AJO1475" s="1"/>
      <c r="AJP1475" s="1"/>
      <c r="AJQ1475" s="1"/>
      <c r="AJR1475" s="1"/>
      <c r="AJS1475" s="1"/>
      <c r="AJT1475" s="1"/>
      <c r="AJU1475" s="1"/>
      <c r="AJV1475" s="1"/>
      <c r="AJW1475" s="1"/>
      <c r="AJX1475" s="1"/>
      <c r="AJY1475" s="1"/>
      <c r="AJZ1475" s="1"/>
      <c r="AKA1475" s="1"/>
      <c r="AKB1475" s="1"/>
      <c r="AKC1475" s="1"/>
      <c r="AKD1475" s="1"/>
      <c r="AKE1475" s="1"/>
      <c r="AKF1475" s="1"/>
      <c r="AKG1475" s="1"/>
      <c r="AKH1475" s="1"/>
      <c r="AKI1475" s="1"/>
      <c r="AKJ1475" s="1"/>
      <c r="AKK1475" s="1"/>
      <c r="AKL1475" s="1"/>
      <c r="AKM1475" s="1"/>
      <c r="AKN1475" s="1"/>
      <c r="AKO1475" s="1"/>
      <c r="AKP1475" s="1"/>
      <c r="AKQ1475" s="1"/>
      <c r="AKR1475" s="1"/>
      <c r="AKS1475" s="1"/>
      <c r="AKT1475" s="1"/>
      <c r="AKU1475" s="1"/>
      <c r="AKV1475" s="1"/>
      <c r="AKW1475" s="1"/>
      <c r="AKX1475" s="1"/>
      <c r="AKY1475" s="1"/>
      <c r="AKZ1475" s="1"/>
      <c r="ALA1475" s="1"/>
      <c r="ALB1475" s="1"/>
      <c r="ALC1475" s="1"/>
      <c r="ALD1475" s="1"/>
      <c r="ALE1475" s="1"/>
      <c r="ALF1475" s="1"/>
      <c r="ALG1475" s="1"/>
      <c r="ALH1475" s="1"/>
      <c r="ALI1475" s="1"/>
      <c r="ALJ1475" s="1"/>
      <c r="ALK1475" s="1"/>
      <c r="ALL1475" s="1"/>
      <c r="ALM1475" s="1"/>
      <c r="ALN1475" s="1"/>
      <c r="ALO1475" s="1"/>
      <c r="ALP1475" s="1"/>
      <c r="ALQ1475" s="1"/>
      <c r="ALR1475" s="1"/>
      <c r="ALS1475" s="1"/>
      <c r="ALT1475" s="1"/>
      <c r="ALU1475" s="1"/>
      <c r="ALV1475" s="1"/>
      <c r="ALW1475" s="1"/>
      <c r="ALX1475" s="1"/>
      <c r="ALY1475" s="1"/>
      <c r="ALZ1475" s="1"/>
      <c r="AMA1475" s="1"/>
      <c r="AMB1475" s="1"/>
      <c r="AMC1475" s="1"/>
      <c r="AMD1475" s="1"/>
      <c r="AME1475" s="1"/>
      <c r="AMF1475" s="1"/>
      <c r="AMG1475" s="1"/>
      <c r="AMH1475" s="1"/>
      <c r="AMI1475" s="1"/>
      <c r="AMJ1475" s="1"/>
      <c r="AMK1475" s="1"/>
    </row>
    <row r="1476" spans="1:1025" s="2" customFormat="1" ht="74.650000000000006" hidden="1" customHeight="1" x14ac:dyDescent="0.25">
      <c r="A1476" s="201"/>
      <c r="B1476" s="202"/>
      <c r="C1476" s="202"/>
      <c r="D1476" s="202"/>
      <c r="E1476" s="202"/>
      <c r="F1476" s="202"/>
      <c r="G1476" s="202"/>
      <c r="H1476" s="202"/>
      <c r="I1476" s="203"/>
      <c r="J1476" s="226" t="s">
        <v>1002</v>
      </c>
      <c r="K1476" s="227">
        <f t="shared" si="26"/>
        <v>2800</v>
      </c>
      <c r="L1476" s="228" t="s">
        <v>3</v>
      </c>
      <c r="M1476" s="908">
        <f t="shared" si="27"/>
        <v>80</v>
      </c>
      <c r="N1476" s="194"/>
      <c r="O1476" s="55"/>
      <c r="P1476" s="226" t="s">
        <v>1002</v>
      </c>
      <c r="Q1476" s="227">
        <f t="shared" si="28"/>
        <v>75</v>
      </c>
      <c r="R1476" s="228" t="s">
        <v>3</v>
      </c>
      <c r="S1476" s="229">
        <f t="shared" si="29"/>
        <v>60</v>
      </c>
      <c r="T1476" s="194"/>
      <c r="U1476" s="228"/>
      <c r="V1476" s="226" t="s">
        <v>1002</v>
      </c>
      <c r="W1476" s="227">
        <f t="shared" si="30"/>
        <v>75</v>
      </c>
      <c r="X1476" s="228" t="s">
        <v>3</v>
      </c>
      <c r="Y1476" s="229">
        <f t="shared" si="31"/>
        <v>60</v>
      </c>
      <c r="Z1476" s="194"/>
      <c r="AA1476" s="55"/>
      <c r="AB1476" s="226" t="s">
        <v>1002</v>
      </c>
      <c r="AC1476" s="227">
        <f t="shared" si="32"/>
        <v>60</v>
      </c>
      <c r="AD1476" s="228" t="s">
        <v>3</v>
      </c>
      <c r="AE1476" s="229">
        <f t="shared" si="33"/>
        <v>48</v>
      </c>
      <c r="AF1476" s="194"/>
      <c r="AG1476" s="55"/>
      <c r="AH1476" s="226" t="s">
        <v>1002</v>
      </c>
      <c r="AI1476" s="227">
        <f t="shared" si="34"/>
        <v>30</v>
      </c>
      <c r="AJ1476" s="228" t="s">
        <v>3</v>
      </c>
      <c r="AK1476" s="229">
        <f t="shared" si="35"/>
        <v>24</v>
      </c>
      <c r="AL1476" s="194"/>
      <c r="AM1476" s="55"/>
      <c r="AN1476" s="226" t="s">
        <v>1002</v>
      </c>
      <c r="AO1476" s="227">
        <f t="shared" si="36"/>
        <v>15</v>
      </c>
      <c r="AP1476" s="228" t="s">
        <v>3</v>
      </c>
      <c r="AQ1476" s="229">
        <f t="shared" si="37"/>
        <v>12</v>
      </c>
      <c r="AR1476" s="1170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  <c r="EA1476" s="1"/>
      <c r="EB1476" s="1"/>
      <c r="EC1476" s="1"/>
      <c r="ED1476" s="1"/>
      <c r="EE1476" s="1"/>
      <c r="EF1476" s="1"/>
      <c r="EG1476" s="1"/>
      <c r="EH1476" s="1"/>
      <c r="EI1476" s="1"/>
      <c r="EJ1476" s="1"/>
      <c r="EK1476" s="1"/>
      <c r="EL1476" s="1"/>
      <c r="EM1476" s="1"/>
      <c r="EN1476" s="1"/>
      <c r="EO1476" s="1"/>
      <c r="EP1476" s="1"/>
      <c r="EQ1476" s="1"/>
      <c r="ER1476" s="1"/>
      <c r="ES1476" s="1"/>
      <c r="ET1476" s="1"/>
      <c r="EU1476" s="1"/>
      <c r="EV1476" s="1"/>
      <c r="EW1476" s="1"/>
      <c r="EX1476" s="1"/>
      <c r="EY1476" s="1"/>
      <c r="EZ1476" s="1"/>
      <c r="FA1476" s="1"/>
      <c r="FB1476" s="1"/>
      <c r="FC1476" s="1"/>
      <c r="FD1476" s="1"/>
      <c r="FE1476" s="1"/>
      <c r="FF1476" s="1"/>
      <c r="FG1476" s="1"/>
      <c r="FH1476" s="1"/>
      <c r="FI1476" s="1"/>
      <c r="FJ1476" s="1"/>
      <c r="FK1476" s="1"/>
      <c r="FL1476" s="1"/>
      <c r="FM1476" s="1"/>
      <c r="FN1476" s="1"/>
      <c r="FO1476" s="1"/>
      <c r="FP1476" s="1"/>
      <c r="FQ1476" s="1"/>
      <c r="FR1476" s="1"/>
      <c r="FS1476" s="1"/>
      <c r="FT1476" s="1"/>
      <c r="FU1476" s="1"/>
      <c r="FV1476" s="1"/>
      <c r="FW1476" s="1"/>
      <c r="FX1476" s="1"/>
      <c r="FY1476" s="1"/>
      <c r="FZ1476" s="1"/>
      <c r="GA1476" s="1"/>
      <c r="GB1476" s="1"/>
      <c r="GC1476" s="1"/>
      <c r="GD1476" s="1"/>
      <c r="GE1476" s="1"/>
      <c r="GF1476" s="1"/>
      <c r="GG1476" s="1"/>
      <c r="GH1476" s="1"/>
      <c r="GI1476" s="1"/>
      <c r="GJ1476" s="1"/>
      <c r="GK1476" s="1"/>
      <c r="GL1476" s="1"/>
      <c r="GM1476" s="1"/>
      <c r="GN1476" s="1"/>
      <c r="GO1476" s="1"/>
      <c r="GP1476" s="1"/>
      <c r="GQ1476" s="1"/>
      <c r="GR1476" s="1"/>
      <c r="GS1476" s="1"/>
      <c r="GT1476" s="1"/>
      <c r="GU1476" s="1"/>
      <c r="GV1476" s="1"/>
      <c r="GW1476" s="1"/>
      <c r="GX1476" s="1"/>
      <c r="GY1476" s="1"/>
      <c r="GZ1476" s="1"/>
      <c r="HA1476" s="1"/>
      <c r="HB1476" s="1"/>
      <c r="HC1476" s="1"/>
      <c r="HD1476" s="1"/>
      <c r="HE1476" s="1"/>
      <c r="HF1476" s="1"/>
      <c r="HG1476" s="1"/>
      <c r="HH1476" s="1"/>
      <c r="HI1476" s="1"/>
      <c r="HJ1476" s="1"/>
      <c r="HK1476" s="1"/>
      <c r="HL1476" s="1"/>
      <c r="HM1476" s="1"/>
      <c r="HN1476" s="1"/>
      <c r="HO1476" s="1"/>
      <c r="HP1476" s="1"/>
      <c r="HQ1476" s="1"/>
      <c r="HR1476" s="1"/>
      <c r="HS1476" s="1"/>
      <c r="HT1476" s="1"/>
      <c r="HU1476" s="1"/>
      <c r="HV1476" s="1"/>
      <c r="HW1476" s="1"/>
      <c r="HX1476" s="1"/>
      <c r="HY1476" s="1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  <c r="IU1476" s="1"/>
      <c r="IV1476" s="1"/>
      <c r="IW1476" s="1"/>
      <c r="IX1476" s="1"/>
      <c r="IY1476" s="1"/>
      <c r="IZ1476" s="1"/>
      <c r="JA1476" s="1"/>
      <c r="JB1476" s="1"/>
      <c r="JC1476" s="1"/>
      <c r="JD1476" s="1"/>
      <c r="JE1476" s="1"/>
      <c r="JF1476" s="1"/>
      <c r="JG1476" s="1"/>
      <c r="JH1476" s="1"/>
      <c r="JI1476" s="1"/>
      <c r="JJ1476" s="1"/>
      <c r="JK1476" s="1"/>
      <c r="JL1476" s="1"/>
      <c r="JM1476" s="1"/>
      <c r="JN1476" s="1"/>
      <c r="JO1476" s="1"/>
      <c r="JP1476" s="1"/>
      <c r="JQ1476" s="1"/>
      <c r="JR1476" s="1"/>
      <c r="JS1476" s="1"/>
      <c r="JT1476" s="1"/>
      <c r="JU1476" s="1"/>
      <c r="JV1476" s="1"/>
      <c r="JW1476" s="1"/>
      <c r="JX1476" s="1"/>
      <c r="JY1476" s="1"/>
      <c r="JZ1476" s="1"/>
      <c r="KA1476" s="1"/>
      <c r="KB1476" s="1"/>
      <c r="KC1476" s="1"/>
      <c r="KD1476" s="1"/>
      <c r="KE1476" s="1"/>
      <c r="KF1476" s="1"/>
      <c r="KG1476" s="1"/>
      <c r="KH1476" s="1"/>
      <c r="KI1476" s="1"/>
      <c r="KJ1476" s="1"/>
      <c r="KK1476" s="1"/>
      <c r="KL1476" s="1"/>
      <c r="KM1476" s="1"/>
      <c r="KN1476" s="1"/>
      <c r="KO1476" s="1"/>
      <c r="KP1476" s="1"/>
      <c r="KQ1476" s="1"/>
      <c r="KR1476" s="1"/>
      <c r="KS1476" s="1"/>
      <c r="KT1476" s="1"/>
      <c r="KU1476" s="1"/>
      <c r="KV1476" s="1"/>
      <c r="KW1476" s="1"/>
      <c r="KX1476" s="1"/>
      <c r="KY1476" s="1"/>
      <c r="KZ1476" s="1"/>
      <c r="LA1476" s="1"/>
      <c r="LB1476" s="1"/>
      <c r="LC1476" s="1"/>
      <c r="LD1476" s="1"/>
      <c r="LE1476" s="1"/>
      <c r="LF1476" s="1"/>
      <c r="LG1476" s="1"/>
      <c r="LH1476" s="1"/>
      <c r="LI1476" s="1"/>
      <c r="LJ1476" s="1"/>
      <c r="LK1476" s="1"/>
      <c r="LL1476" s="1"/>
      <c r="LM1476" s="1"/>
      <c r="LN1476" s="1"/>
      <c r="LO1476" s="1"/>
      <c r="LP1476" s="1"/>
      <c r="LQ1476" s="1"/>
      <c r="LR1476" s="1"/>
      <c r="LS1476" s="1"/>
      <c r="LT1476" s="1"/>
      <c r="LU1476" s="1"/>
      <c r="LV1476" s="1"/>
      <c r="LW1476" s="1"/>
      <c r="LX1476" s="1"/>
      <c r="LY1476" s="1"/>
      <c r="LZ1476" s="1"/>
      <c r="MA1476" s="1"/>
      <c r="MB1476" s="1"/>
      <c r="MC1476" s="1"/>
      <c r="MD1476" s="1"/>
      <c r="ME1476" s="1"/>
      <c r="MF1476" s="1"/>
      <c r="MG1476" s="1"/>
      <c r="MH1476" s="1"/>
      <c r="MI1476" s="1"/>
      <c r="MJ1476" s="1"/>
      <c r="MK1476" s="1"/>
      <c r="ML1476" s="1"/>
      <c r="MM1476" s="1"/>
      <c r="MN1476" s="1"/>
      <c r="MO1476" s="1"/>
      <c r="MP1476" s="1"/>
      <c r="MQ1476" s="1"/>
      <c r="MR1476" s="1"/>
      <c r="MS1476" s="1"/>
      <c r="MT1476" s="1"/>
      <c r="MU1476" s="1"/>
      <c r="MV1476" s="1"/>
      <c r="MW1476" s="1"/>
      <c r="MX1476" s="1"/>
      <c r="MY1476" s="1"/>
      <c r="MZ1476" s="1"/>
      <c r="NA1476" s="1"/>
      <c r="NB1476" s="1"/>
      <c r="NC1476" s="1"/>
      <c r="ND1476" s="1"/>
      <c r="NE1476" s="1"/>
      <c r="NF1476" s="1"/>
      <c r="NG1476" s="1"/>
      <c r="NH1476" s="1"/>
      <c r="NI1476" s="1"/>
      <c r="NJ1476" s="1"/>
      <c r="NK1476" s="1"/>
      <c r="NL1476" s="1"/>
      <c r="NM1476" s="1"/>
      <c r="NN1476" s="1"/>
      <c r="NO1476" s="1"/>
      <c r="NP1476" s="1"/>
      <c r="NQ1476" s="1"/>
      <c r="NR1476" s="1"/>
      <c r="NS1476" s="1"/>
      <c r="NT1476" s="1"/>
      <c r="NU1476" s="1"/>
      <c r="NV1476" s="1"/>
      <c r="NW1476" s="1"/>
      <c r="NX1476" s="1"/>
      <c r="NY1476" s="1"/>
      <c r="NZ1476" s="1"/>
      <c r="OA1476" s="1"/>
      <c r="OB1476" s="1"/>
      <c r="OC1476" s="1"/>
      <c r="OD1476" s="1"/>
      <c r="OE1476" s="1"/>
      <c r="OF1476" s="1"/>
      <c r="OG1476" s="1"/>
      <c r="OH1476" s="1"/>
      <c r="OI1476" s="1"/>
      <c r="OJ1476" s="1"/>
      <c r="OK1476" s="1"/>
      <c r="OL1476" s="1"/>
      <c r="OM1476" s="1"/>
      <c r="ON1476" s="1"/>
      <c r="OO1476" s="1"/>
      <c r="OP1476" s="1"/>
      <c r="OQ1476" s="1"/>
      <c r="OR1476" s="1"/>
      <c r="OS1476" s="1"/>
      <c r="OT1476" s="1"/>
      <c r="OU1476" s="1"/>
      <c r="OV1476" s="1"/>
      <c r="OW1476" s="1"/>
      <c r="OX1476" s="1"/>
      <c r="OY1476" s="1"/>
      <c r="OZ1476" s="1"/>
      <c r="PA1476" s="1"/>
      <c r="PB1476" s="1"/>
      <c r="PC1476" s="1"/>
      <c r="PD1476" s="1"/>
      <c r="PE1476" s="1"/>
      <c r="PF1476" s="1"/>
      <c r="PG1476" s="1"/>
      <c r="PH1476" s="1"/>
      <c r="PI1476" s="1"/>
      <c r="PJ1476" s="1"/>
      <c r="PK1476" s="1"/>
      <c r="PL1476" s="1"/>
      <c r="PM1476" s="1"/>
      <c r="PN1476" s="1"/>
      <c r="PO1476" s="1"/>
      <c r="PP1476" s="1"/>
      <c r="PQ1476" s="1"/>
      <c r="PR1476" s="1"/>
      <c r="PS1476" s="1"/>
      <c r="PT1476" s="1"/>
      <c r="PU1476" s="1"/>
      <c r="PV1476" s="1"/>
      <c r="PW1476" s="1"/>
      <c r="PX1476" s="1"/>
      <c r="PY1476" s="1"/>
      <c r="PZ1476" s="1"/>
      <c r="QA1476" s="1"/>
      <c r="QB1476" s="1"/>
      <c r="QC1476" s="1"/>
      <c r="QD1476" s="1"/>
      <c r="QE1476" s="1"/>
      <c r="QF1476" s="1"/>
      <c r="QG1476" s="1"/>
      <c r="QH1476" s="1"/>
      <c r="QI1476" s="1"/>
      <c r="QJ1476" s="1"/>
      <c r="QK1476" s="1"/>
      <c r="QL1476" s="1"/>
      <c r="QM1476" s="1"/>
      <c r="QN1476" s="1"/>
      <c r="QO1476" s="1"/>
      <c r="QP1476" s="1"/>
      <c r="QQ1476" s="1"/>
      <c r="QR1476" s="1"/>
      <c r="QS1476" s="1"/>
      <c r="QT1476" s="1"/>
      <c r="QU1476" s="1"/>
      <c r="QV1476" s="1"/>
      <c r="QW1476" s="1"/>
      <c r="QX1476" s="1"/>
      <c r="QY1476" s="1"/>
      <c r="QZ1476" s="1"/>
      <c r="RA1476" s="1"/>
      <c r="RB1476" s="1"/>
      <c r="RC1476" s="1"/>
      <c r="RD1476" s="1"/>
      <c r="RE1476" s="1"/>
      <c r="RF1476" s="1"/>
      <c r="RG1476" s="1"/>
      <c r="RH1476" s="1"/>
      <c r="RI1476" s="1"/>
      <c r="RJ1476" s="1"/>
      <c r="RK1476" s="1"/>
      <c r="RL1476" s="1"/>
      <c r="RM1476" s="1"/>
      <c r="RN1476" s="1"/>
      <c r="RO1476" s="1"/>
      <c r="RP1476" s="1"/>
      <c r="RQ1476" s="1"/>
      <c r="RR1476" s="1"/>
      <c r="RS1476" s="1"/>
      <c r="RT1476" s="1"/>
      <c r="RU1476" s="1"/>
      <c r="RV1476" s="1"/>
      <c r="RW1476" s="1"/>
      <c r="RX1476" s="1"/>
      <c r="RY1476" s="1"/>
      <c r="RZ1476" s="1"/>
      <c r="SA1476" s="1"/>
      <c r="SB1476" s="1"/>
      <c r="SC1476" s="1"/>
      <c r="SD1476" s="1"/>
      <c r="SE1476" s="1"/>
      <c r="SF1476" s="1"/>
      <c r="SG1476" s="1"/>
      <c r="SH1476" s="1"/>
      <c r="SI1476" s="1"/>
      <c r="SJ1476" s="1"/>
      <c r="SK1476" s="1"/>
      <c r="SL1476" s="1"/>
      <c r="SM1476" s="1"/>
      <c r="SN1476" s="1"/>
      <c r="SO1476" s="1"/>
      <c r="SP1476" s="1"/>
      <c r="SQ1476" s="1"/>
      <c r="SR1476" s="1"/>
      <c r="SS1476" s="1"/>
      <c r="ST1476" s="1"/>
      <c r="SU1476" s="1"/>
      <c r="SV1476" s="1"/>
      <c r="SW1476" s="1"/>
      <c r="SX1476" s="1"/>
      <c r="SY1476" s="1"/>
      <c r="SZ1476" s="1"/>
      <c r="TA1476" s="1"/>
      <c r="TB1476" s="1"/>
      <c r="TC1476" s="1"/>
      <c r="TD1476" s="1"/>
      <c r="TE1476" s="1"/>
      <c r="TF1476" s="1"/>
      <c r="TG1476" s="1"/>
      <c r="TH1476" s="1"/>
      <c r="TI1476" s="1"/>
      <c r="TJ1476" s="1"/>
      <c r="TK1476" s="1"/>
      <c r="TL1476" s="1"/>
      <c r="TM1476" s="1"/>
      <c r="TN1476" s="1"/>
      <c r="TO1476" s="1"/>
      <c r="TP1476" s="1"/>
      <c r="TQ1476" s="1"/>
      <c r="TR1476" s="1"/>
      <c r="TS1476" s="1"/>
      <c r="TT1476" s="1"/>
      <c r="TU1476" s="1"/>
      <c r="TV1476" s="1"/>
      <c r="TW1476" s="1"/>
      <c r="TX1476" s="1"/>
      <c r="TY1476" s="1"/>
      <c r="TZ1476" s="1"/>
      <c r="UA1476" s="1"/>
      <c r="UB1476" s="1"/>
      <c r="UC1476" s="1"/>
      <c r="UD1476" s="1"/>
      <c r="UE1476" s="1"/>
      <c r="UF1476" s="1"/>
      <c r="UG1476" s="1"/>
      <c r="UH1476" s="1"/>
      <c r="UI1476" s="1"/>
      <c r="UJ1476" s="1"/>
      <c r="UK1476" s="1"/>
      <c r="UL1476" s="1"/>
      <c r="UM1476" s="1"/>
      <c r="UN1476" s="1"/>
      <c r="UO1476" s="1"/>
      <c r="UP1476" s="1"/>
      <c r="UQ1476" s="1"/>
      <c r="UR1476" s="1"/>
      <c r="US1476" s="1"/>
      <c r="UT1476" s="1"/>
      <c r="UU1476" s="1"/>
      <c r="UV1476" s="1"/>
      <c r="UW1476" s="1"/>
      <c r="UX1476" s="1"/>
      <c r="UY1476" s="1"/>
      <c r="UZ1476" s="1"/>
      <c r="VA1476" s="1"/>
      <c r="VB1476" s="1"/>
      <c r="VC1476" s="1"/>
      <c r="VD1476" s="1"/>
      <c r="VE1476" s="1"/>
      <c r="VF1476" s="1"/>
      <c r="VG1476" s="1"/>
      <c r="VH1476" s="1"/>
      <c r="VI1476" s="1"/>
      <c r="VJ1476" s="1"/>
      <c r="VK1476" s="1"/>
      <c r="VL1476" s="1"/>
      <c r="VM1476" s="1"/>
      <c r="VN1476" s="1"/>
      <c r="VO1476" s="1"/>
      <c r="VP1476" s="1"/>
      <c r="VQ1476" s="1"/>
      <c r="VR1476" s="1"/>
      <c r="VS1476" s="1"/>
      <c r="VT1476" s="1"/>
      <c r="VU1476" s="1"/>
      <c r="VV1476" s="1"/>
      <c r="VW1476" s="1"/>
      <c r="VX1476" s="1"/>
      <c r="VY1476" s="1"/>
      <c r="VZ1476" s="1"/>
      <c r="WA1476" s="1"/>
      <c r="WB1476" s="1"/>
      <c r="WC1476" s="1"/>
      <c r="WD1476" s="1"/>
      <c r="WE1476" s="1"/>
      <c r="WF1476" s="1"/>
      <c r="WG1476" s="1"/>
      <c r="WH1476" s="1"/>
      <c r="WI1476" s="1"/>
      <c r="WJ1476" s="1"/>
      <c r="WK1476" s="1"/>
      <c r="WL1476" s="1"/>
      <c r="WM1476" s="1"/>
      <c r="WN1476" s="1"/>
      <c r="WO1476" s="1"/>
      <c r="WP1476" s="1"/>
      <c r="WQ1476" s="1"/>
      <c r="WR1476" s="1"/>
      <c r="WS1476" s="1"/>
      <c r="WT1476" s="1"/>
      <c r="WU1476" s="1"/>
      <c r="WV1476" s="1"/>
      <c r="WW1476" s="1"/>
      <c r="WX1476" s="1"/>
      <c r="WY1476" s="1"/>
      <c r="WZ1476" s="1"/>
      <c r="XA1476" s="1"/>
      <c r="XB1476" s="1"/>
      <c r="XC1476" s="1"/>
      <c r="XD1476" s="1"/>
      <c r="XE1476" s="1"/>
      <c r="XF1476" s="1"/>
      <c r="XG1476" s="1"/>
      <c r="XH1476" s="1"/>
      <c r="XI1476" s="1"/>
      <c r="XJ1476" s="1"/>
      <c r="XK1476" s="1"/>
      <c r="XL1476" s="1"/>
      <c r="XM1476" s="1"/>
      <c r="XN1476" s="1"/>
      <c r="XO1476" s="1"/>
      <c r="XP1476" s="1"/>
      <c r="XQ1476" s="1"/>
      <c r="XR1476" s="1"/>
      <c r="XS1476" s="1"/>
      <c r="XT1476" s="1"/>
      <c r="XU1476" s="1"/>
      <c r="XV1476" s="1"/>
      <c r="XW1476" s="1"/>
      <c r="XX1476" s="1"/>
      <c r="XY1476" s="1"/>
      <c r="XZ1476" s="1"/>
      <c r="YA1476" s="1"/>
      <c r="YB1476" s="1"/>
      <c r="YC1476" s="1"/>
      <c r="YD1476" s="1"/>
      <c r="YE1476" s="1"/>
      <c r="YF1476" s="1"/>
      <c r="YG1476" s="1"/>
      <c r="YH1476" s="1"/>
      <c r="YI1476" s="1"/>
      <c r="YJ1476" s="1"/>
      <c r="YK1476" s="1"/>
      <c r="YL1476" s="1"/>
      <c r="YM1476" s="1"/>
      <c r="YN1476" s="1"/>
      <c r="YO1476" s="1"/>
      <c r="YP1476" s="1"/>
      <c r="YQ1476" s="1"/>
      <c r="YR1476" s="1"/>
      <c r="YS1476" s="1"/>
      <c r="YT1476" s="1"/>
      <c r="YU1476" s="1"/>
      <c r="YV1476" s="1"/>
      <c r="YW1476" s="1"/>
      <c r="YX1476" s="1"/>
      <c r="YY1476" s="1"/>
      <c r="YZ1476" s="1"/>
      <c r="ZA1476" s="1"/>
      <c r="ZB1476" s="1"/>
      <c r="ZC1476" s="1"/>
      <c r="ZD1476" s="1"/>
      <c r="ZE1476" s="1"/>
      <c r="ZF1476" s="1"/>
      <c r="ZG1476" s="1"/>
      <c r="ZH1476" s="1"/>
      <c r="ZI1476" s="1"/>
      <c r="ZJ1476" s="1"/>
      <c r="ZK1476" s="1"/>
      <c r="ZL1476" s="1"/>
      <c r="ZM1476" s="1"/>
      <c r="ZN1476" s="1"/>
      <c r="ZO1476" s="1"/>
      <c r="ZP1476" s="1"/>
      <c r="ZQ1476" s="1"/>
      <c r="ZR1476" s="1"/>
      <c r="ZS1476" s="1"/>
      <c r="ZT1476" s="1"/>
      <c r="ZU1476" s="1"/>
      <c r="ZV1476" s="1"/>
      <c r="ZW1476" s="1"/>
      <c r="ZX1476" s="1"/>
      <c r="ZY1476" s="1"/>
      <c r="ZZ1476" s="1"/>
      <c r="AAA1476" s="1"/>
      <c r="AAB1476" s="1"/>
      <c r="AAC1476" s="1"/>
      <c r="AAD1476" s="1"/>
      <c r="AAE1476" s="1"/>
      <c r="AAF1476" s="1"/>
      <c r="AAG1476" s="1"/>
      <c r="AAH1476" s="1"/>
      <c r="AAI1476" s="1"/>
      <c r="AAJ1476" s="1"/>
      <c r="AAK1476" s="1"/>
      <c r="AAL1476" s="1"/>
      <c r="AAM1476" s="1"/>
      <c r="AAN1476" s="1"/>
      <c r="AAO1476" s="1"/>
      <c r="AAP1476" s="1"/>
      <c r="AAQ1476" s="1"/>
      <c r="AAR1476" s="1"/>
      <c r="AAS1476" s="1"/>
      <c r="AAT1476" s="1"/>
      <c r="AAU1476" s="1"/>
      <c r="AAV1476" s="1"/>
      <c r="AAW1476" s="1"/>
      <c r="AAX1476" s="1"/>
      <c r="AAY1476" s="1"/>
      <c r="AAZ1476" s="1"/>
      <c r="ABA1476" s="1"/>
      <c r="ABB1476" s="1"/>
      <c r="ABC1476" s="1"/>
      <c r="ABD1476" s="1"/>
      <c r="ABE1476" s="1"/>
      <c r="ABF1476" s="1"/>
      <c r="ABG1476" s="1"/>
      <c r="ABH1476" s="1"/>
      <c r="ABI1476" s="1"/>
      <c r="ABJ1476" s="1"/>
      <c r="ABK1476" s="1"/>
      <c r="ABL1476" s="1"/>
      <c r="ABM1476" s="1"/>
      <c r="ABN1476" s="1"/>
      <c r="ABO1476" s="1"/>
      <c r="ABP1476" s="1"/>
      <c r="ABQ1476" s="1"/>
      <c r="ABR1476" s="1"/>
      <c r="ABS1476" s="1"/>
      <c r="ABT1476" s="1"/>
      <c r="ABU1476" s="1"/>
      <c r="ABV1476" s="1"/>
      <c r="ABW1476" s="1"/>
      <c r="ABX1476" s="1"/>
      <c r="ABY1476" s="1"/>
      <c r="ABZ1476" s="1"/>
      <c r="ACA1476" s="1"/>
      <c r="ACB1476" s="1"/>
      <c r="ACC1476" s="1"/>
      <c r="ACD1476" s="1"/>
      <c r="ACE1476" s="1"/>
      <c r="ACF1476" s="1"/>
      <c r="ACG1476" s="1"/>
      <c r="ACH1476" s="1"/>
      <c r="ACI1476" s="1"/>
      <c r="ACJ1476" s="1"/>
      <c r="ACK1476" s="1"/>
      <c r="ACL1476" s="1"/>
      <c r="ACM1476" s="1"/>
      <c r="ACN1476" s="1"/>
      <c r="ACO1476" s="1"/>
      <c r="ACP1476" s="1"/>
      <c r="ACQ1476" s="1"/>
      <c r="ACR1476" s="1"/>
      <c r="ACS1476" s="1"/>
      <c r="ACT1476" s="1"/>
      <c r="ACU1476" s="1"/>
      <c r="ACV1476" s="1"/>
      <c r="ACW1476" s="1"/>
      <c r="ACX1476" s="1"/>
      <c r="ACY1476" s="1"/>
      <c r="ACZ1476" s="1"/>
      <c r="ADA1476" s="1"/>
      <c r="ADB1476" s="1"/>
      <c r="ADC1476" s="1"/>
      <c r="ADD1476" s="1"/>
      <c r="ADE1476" s="1"/>
      <c r="ADF1476" s="1"/>
      <c r="ADG1476" s="1"/>
      <c r="ADH1476" s="1"/>
      <c r="ADI1476" s="1"/>
      <c r="ADJ1476" s="1"/>
      <c r="ADK1476" s="1"/>
      <c r="ADL1476" s="1"/>
      <c r="ADM1476" s="1"/>
      <c r="ADN1476" s="1"/>
      <c r="ADO1476" s="1"/>
      <c r="ADP1476" s="1"/>
      <c r="ADQ1476" s="1"/>
      <c r="ADR1476" s="1"/>
      <c r="ADS1476" s="1"/>
      <c r="ADT1476" s="1"/>
      <c r="ADU1476" s="1"/>
      <c r="ADV1476" s="1"/>
      <c r="ADW1476" s="1"/>
      <c r="ADX1476" s="1"/>
      <c r="ADY1476" s="1"/>
      <c r="ADZ1476" s="1"/>
      <c r="AEA1476" s="1"/>
      <c r="AEB1476" s="1"/>
      <c r="AEC1476" s="1"/>
      <c r="AED1476" s="1"/>
      <c r="AEE1476" s="1"/>
      <c r="AEF1476" s="1"/>
      <c r="AEG1476" s="1"/>
      <c r="AEH1476" s="1"/>
      <c r="AEI1476" s="1"/>
      <c r="AEJ1476" s="1"/>
      <c r="AEK1476" s="1"/>
      <c r="AEL1476" s="1"/>
      <c r="AEM1476" s="1"/>
      <c r="AEN1476" s="1"/>
      <c r="AEO1476" s="1"/>
      <c r="AEP1476" s="1"/>
      <c r="AEQ1476" s="1"/>
      <c r="AER1476" s="1"/>
      <c r="AES1476" s="1"/>
      <c r="AET1476" s="1"/>
      <c r="AEU1476" s="1"/>
      <c r="AEV1476" s="1"/>
      <c r="AEW1476" s="1"/>
      <c r="AEX1476" s="1"/>
      <c r="AEY1476" s="1"/>
      <c r="AEZ1476" s="1"/>
      <c r="AFA1476" s="1"/>
      <c r="AFB1476" s="1"/>
      <c r="AFC1476" s="1"/>
      <c r="AFD1476" s="1"/>
      <c r="AFE1476" s="1"/>
      <c r="AFF1476" s="1"/>
      <c r="AFG1476" s="1"/>
      <c r="AFH1476" s="1"/>
      <c r="AFI1476" s="1"/>
      <c r="AFJ1476" s="1"/>
      <c r="AFK1476" s="1"/>
      <c r="AFL1476" s="1"/>
      <c r="AFM1476" s="1"/>
      <c r="AFN1476" s="1"/>
      <c r="AFO1476" s="1"/>
      <c r="AFP1476" s="1"/>
      <c r="AFQ1476" s="1"/>
      <c r="AFR1476" s="1"/>
      <c r="AFS1476" s="1"/>
      <c r="AFT1476" s="1"/>
      <c r="AFU1476" s="1"/>
      <c r="AFV1476" s="1"/>
      <c r="AFW1476" s="1"/>
      <c r="AFX1476" s="1"/>
      <c r="AFY1476" s="1"/>
      <c r="AFZ1476" s="1"/>
      <c r="AGA1476" s="1"/>
      <c r="AGB1476" s="1"/>
      <c r="AGC1476" s="1"/>
      <c r="AGD1476" s="1"/>
      <c r="AGE1476" s="1"/>
      <c r="AGF1476" s="1"/>
      <c r="AGG1476" s="1"/>
      <c r="AGH1476" s="1"/>
      <c r="AGI1476" s="1"/>
      <c r="AGJ1476" s="1"/>
      <c r="AGK1476" s="1"/>
      <c r="AGL1476" s="1"/>
      <c r="AGM1476" s="1"/>
      <c r="AGN1476" s="1"/>
      <c r="AGO1476" s="1"/>
      <c r="AGP1476" s="1"/>
      <c r="AGQ1476" s="1"/>
      <c r="AGR1476" s="1"/>
      <c r="AGS1476" s="1"/>
      <c r="AGT1476" s="1"/>
      <c r="AGU1476" s="1"/>
      <c r="AGV1476" s="1"/>
      <c r="AGW1476" s="1"/>
      <c r="AGX1476" s="1"/>
      <c r="AGY1476" s="1"/>
      <c r="AGZ1476" s="1"/>
      <c r="AHA1476" s="1"/>
      <c r="AHB1476" s="1"/>
      <c r="AHC1476" s="1"/>
      <c r="AHD1476" s="1"/>
      <c r="AHE1476" s="1"/>
      <c r="AHF1476" s="1"/>
      <c r="AHG1476" s="1"/>
      <c r="AHH1476" s="1"/>
      <c r="AHI1476" s="1"/>
      <c r="AHJ1476" s="1"/>
      <c r="AHK1476" s="1"/>
      <c r="AHL1476" s="1"/>
      <c r="AHM1476" s="1"/>
      <c r="AHN1476" s="1"/>
      <c r="AHO1476" s="1"/>
      <c r="AHP1476" s="1"/>
      <c r="AHQ1476" s="1"/>
      <c r="AHR1476" s="1"/>
      <c r="AHS1476" s="1"/>
      <c r="AHT1476" s="1"/>
      <c r="AHU1476" s="1"/>
      <c r="AHV1476" s="1"/>
      <c r="AHW1476" s="1"/>
      <c r="AHX1476" s="1"/>
      <c r="AHY1476" s="1"/>
      <c r="AHZ1476" s="1"/>
      <c r="AIA1476" s="1"/>
      <c r="AIB1476" s="1"/>
      <c r="AIC1476" s="1"/>
      <c r="AID1476" s="1"/>
      <c r="AIE1476" s="1"/>
      <c r="AIF1476" s="1"/>
      <c r="AIG1476" s="1"/>
      <c r="AIH1476" s="1"/>
      <c r="AII1476" s="1"/>
      <c r="AIJ1476" s="1"/>
      <c r="AIK1476" s="1"/>
      <c r="AIL1476" s="1"/>
      <c r="AIM1476" s="1"/>
      <c r="AIN1476" s="1"/>
      <c r="AIO1476" s="1"/>
      <c r="AIP1476" s="1"/>
      <c r="AIQ1476" s="1"/>
      <c r="AIR1476" s="1"/>
      <c r="AIS1476" s="1"/>
      <c r="AIT1476" s="1"/>
      <c r="AIU1476" s="1"/>
      <c r="AIV1476" s="1"/>
      <c r="AIW1476" s="1"/>
      <c r="AIX1476" s="1"/>
      <c r="AIY1476" s="1"/>
      <c r="AIZ1476" s="1"/>
      <c r="AJA1476" s="1"/>
      <c r="AJB1476" s="1"/>
      <c r="AJC1476" s="1"/>
      <c r="AJD1476" s="1"/>
      <c r="AJE1476" s="1"/>
      <c r="AJF1476" s="1"/>
      <c r="AJG1476" s="1"/>
      <c r="AJH1476" s="1"/>
      <c r="AJI1476" s="1"/>
      <c r="AJJ1476" s="1"/>
      <c r="AJK1476" s="1"/>
      <c r="AJL1476" s="1"/>
      <c r="AJM1476" s="1"/>
      <c r="AJN1476" s="1"/>
      <c r="AJO1476" s="1"/>
      <c r="AJP1476" s="1"/>
      <c r="AJQ1476" s="1"/>
      <c r="AJR1476" s="1"/>
      <c r="AJS1476" s="1"/>
      <c r="AJT1476" s="1"/>
      <c r="AJU1476" s="1"/>
      <c r="AJV1476" s="1"/>
      <c r="AJW1476" s="1"/>
      <c r="AJX1476" s="1"/>
      <c r="AJY1476" s="1"/>
      <c r="AJZ1476" s="1"/>
      <c r="AKA1476" s="1"/>
      <c r="AKB1476" s="1"/>
      <c r="AKC1476" s="1"/>
      <c r="AKD1476" s="1"/>
      <c r="AKE1476" s="1"/>
      <c r="AKF1476" s="1"/>
      <c r="AKG1476" s="1"/>
      <c r="AKH1476" s="1"/>
      <c r="AKI1476" s="1"/>
      <c r="AKJ1476" s="1"/>
      <c r="AKK1476" s="1"/>
      <c r="AKL1476" s="1"/>
      <c r="AKM1476" s="1"/>
      <c r="AKN1476" s="1"/>
      <c r="AKO1476" s="1"/>
      <c r="AKP1476" s="1"/>
      <c r="AKQ1476" s="1"/>
      <c r="AKR1476" s="1"/>
      <c r="AKS1476" s="1"/>
      <c r="AKT1476" s="1"/>
      <c r="AKU1476" s="1"/>
      <c r="AKV1476" s="1"/>
      <c r="AKW1476" s="1"/>
      <c r="AKX1476" s="1"/>
      <c r="AKY1476" s="1"/>
      <c r="AKZ1476" s="1"/>
      <c r="ALA1476" s="1"/>
      <c r="ALB1476" s="1"/>
      <c r="ALC1476" s="1"/>
      <c r="ALD1476" s="1"/>
      <c r="ALE1476" s="1"/>
      <c r="ALF1476" s="1"/>
      <c r="ALG1476" s="1"/>
      <c r="ALH1476" s="1"/>
      <c r="ALI1476" s="1"/>
      <c r="ALJ1476" s="1"/>
      <c r="ALK1476" s="1"/>
      <c r="ALL1476" s="1"/>
      <c r="ALM1476" s="1"/>
      <c r="ALN1476" s="1"/>
      <c r="ALO1476" s="1"/>
      <c r="ALP1476" s="1"/>
      <c r="ALQ1476" s="1"/>
      <c r="ALR1476" s="1"/>
      <c r="ALS1476" s="1"/>
      <c r="ALT1476" s="1"/>
      <c r="ALU1476" s="1"/>
      <c r="ALV1476" s="1"/>
      <c r="ALW1476" s="1"/>
      <c r="ALX1476" s="1"/>
      <c r="ALY1476" s="1"/>
      <c r="ALZ1476" s="1"/>
      <c r="AMA1476" s="1"/>
      <c r="AMB1476" s="1"/>
      <c r="AMC1476" s="1"/>
      <c r="AMD1476" s="1"/>
      <c r="AME1476" s="1"/>
      <c r="AMF1476" s="1"/>
      <c r="AMG1476" s="1"/>
      <c r="AMH1476" s="1"/>
      <c r="AMI1476" s="1"/>
      <c r="AMJ1476" s="1"/>
      <c r="AMK1476" s="1"/>
    </row>
    <row r="1477" spans="1:1025" s="2" customFormat="1" ht="46.9" hidden="1" customHeight="1" x14ac:dyDescent="0.25">
      <c r="A1477" s="201"/>
      <c r="B1477" s="202"/>
      <c r="C1477" s="202"/>
      <c r="D1477" s="202"/>
      <c r="E1477" s="202"/>
      <c r="F1477" s="202"/>
      <c r="G1477" s="202"/>
      <c r="H1477" s="202"/>
      <c r="I1477" s="203"/>
      <c r="J1477" s="226" t="s">
        <v>1003</v>
      </c>
      <c r="K1477" s="227">
        <f t="shared" si="26"/>
        <v>7894.6</v>
      </c>
      <c r="L1477" s="228" t="s">
        <v>1005</v>
      </c>
      <c r="M1477" s="229">
        <f t="shared" si="27"/>
        <v>6897.6399999999994</v>
      </c>
      <c r="N1477" s="194"/>
      <c r="O1477" s="55"/>
      <c r="P1477" s="226" t="s">
        <v>1003</v>
      </c>
      <c r="Q1477" s="227">
        <f t="shared" si="28"/>
        <v>749</v>
      </c>
      <c r="R1477" s="228" t="s">
        <v>1005</v>
      </c>
      <c r="S1477" s="229">
        <f t="shared" si="29"/>
        <v>467.6</v>
      </c>
      <c r="T1477" s="194"/>
      <c r="U1477" s="228"/>
      <c r="V1477" s="226" t="s">
        <v>1003</v>
      </c>
      <c r="W1477" s="227">
        <f t="shared" si="30"/>
        <v>869</v>
      </c>
      <c r="X1477" s="228" t="s">
        <v>1005</v>
      </c>
      <c r="Y1477" s="229">
        <f t="shared" si="31"/>
        <v>550.79999999999995</v>
      </c>
      <c r="Z1477" s="194"/>
      <c r="AA1477" s="55"/>
      <c r="AB1477" s="226" t="s">
        <v>1003</v>
      </c>
      <c r="AC1477" s="227">
        <f t="shared" si="32"/>
        <v>1122</v>
      </c>
      <c r="AD1477" s="228" t="s">
        <v>1005</v>
      </c>
      <c r="AE1477" s="229">
        <f t="shared" si="33"/>
        <v>716</v>
      </c>
      <c r="AF1477" s="194"/>
      <c r="AG1477" s="55"/>
      <c r="AH1477" s="226" t="s">
        <v>1003</v>
      </c>
      <c r="AI1477" s="227">
        <f t="shared" si="34"/>
        <v>142</v>
      </c>
      <c r="AJ1477" s="228" t="s">
        <v>1005</v>
      </c>
      <c r="AK1477" s="229">
        <f t="shared" si="35"/>
        <v>82.8</v>
      </c>
      <c r="AL1477" s="194"/>
      <c r="AM1477" s="55"/>
      <c r="AN1477" s="226" t="s">
        <v>1003</v>
      </c>
      <c r="AO1477" s="227">
        <f t="shared" si="36"/>
        <v>127</v>
      </c>
      <c r="AP1477" s="228" t="s">
        <v>1005</v>
      </c>
      <c r="AQ1477" s="229">
        <f t="shared" si="37"/>
        <v>75.3</v>
      </c>
      <c r="AR1477" s="1170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  <c r="EA1477" s="1"/>
      <c r="EB1477" s="1"/>
      <c r="EC1477" s="1"/>
      <c r="ED1477" s="1"/>
      <c r="EE1477" s="1"/>
      <c r="EF1477" s="1"/>
      <c r="EG1477" s="1"/>
      <c r="EH1477" s="1"/>
      <c r="EI1477" s="1"/>
      <c r="EJ1477" s="1"/>
      <c r="EK1477" s="1"/>
      <c r="EL1477" s="1"/>
      <c r="EM1477" s="1"/>
      <c r="EN1477" s="1"/>
      <c r="EO1477" s="1"/>
      <c r="EP1477" s="1"/>
      <c r="EQ1477" s="1"/>
      <c r="ER1477" s="1"/>
      <c r="ES1477" s="1"/>
      <c r="ET1477" s="1"/>
      <c r="EU1477" s="1"/>
      <c r="EV1477" s="1"/>
      <c r="EW1477" s="1"/>
      <c r="EX1477" s="1"/>
      <c r="EY1477" s="1"/>
      <c r="EZ1477" s="1"/>
      <c r="FA1477" s="1"/>
      <c r="FB1477" s="1"/>
      <c r="FC1477" s="1"/>
      <c r="FD1477" s="1"/>
      <c r="FE1477" s="1"/>
      <c r="FF1477" s="1"/>
      <c r="FG1477" s="1"/>
      <c r="FH1477" s="1"/>
      <c r="FI1477" s="1"/>
      <c r="FJ1477" s="1"/>
      <c r="FK1477" s="1"/>
      <c r="FL1477" s="1"/>
      <c r="FM1477" s="1"/>
      <c r="FN1477" s="1"/>
      <c r="FO1477" s="1"/>
      <c r="FP1477" s="1"/>
      <c r="FQ1477" s="1"/>
      <c r="FR1477" s="1"/>
      <c r="FS1477" s="1"/>
      <c r="FT1477" s="1"/>
      <c r="FU1477" s="1"/>
      <c r="FV1477" s="1"/>
      <c r="FW1477" s="1"/>
      <c r="FX1477" s="1"/>
      <c r="FY1477" s="1"/>
      <c r="FZ1477" s="1"/>
      <c r="GA1477" s="1"/>
      <c r="GB1477" s="1"/>
      <c r="GC1477" s="1"/>
      <c r="GD1477" s="1"/>
      <c r="GE1477" s="1"/>
      <c r="GF1477" s="1"/>
      <c r="GG1477" s="1"/>
      <c r="GH1477" s="1"/>
      <c r="GI1477" s="1"/>
      <c r="GJ1477" s="1"/>
      <c r="GK1477" s="1"/>
      <c r="GL1477" s="1"/>
      <c r="GM1477" s="1"/>
      <c r="GN1477" s="1"/>
      <c r="GO1477" s="1"/>
      <c r="GP1477" s="1"/>
      <c r="GQ1477" s="1"/>
      <c r="GR1477" s="1"/>
      <c r="GS1477" s="1"/>
      <c r="GT1477" s="1"/>
      <c r="GU1477" s="1"/>
      <c r="GV1477" s="1"/>
      <c r="GW1477" s="1"/>
      <c r="GX1477" s="1"/>
      <c r="GY1477" s="1"/>
      <c r="GZ1477" s="1"/>
      <c r="HA1477" s="1"/>
      <c r="HB1477" s="1"/>
      <c r="HC1477" s="1"/>
      <c r="HD1477" s="1"/>
      <c r="HE1477" s="1"/>
      <c r="HF1477" s="1"/>
      <c r="HG1477" s="1"/>
      <c r="HH1477" s="1"/>
      <c r="HI1477" s="1"/>
      <c r="HJ1477" s="1"/>
      <c r="HK1477" s="1"/>
      <c r="HL1477" s="1"/>
      <c r="HM1477" s="1"/>
      <c r="HN1477" s="1"/>
      <c r="HO1477" s="1"/>
      <c r="HP1477" s="1"/>
      <c r="HQ1477" s="1"/>
      <c r="HR1477" s="1"/>
      <c r="HS1477" s="1"/>
      <c r="HT1477" s="1"/>
      <c r="HU1477" s="1"/>
      <c r="HV1477" s="1"/>
      <c r="HW1477" s="1"/>
      <c r="HX1477" s="1"/>
      <c r="HY1477" s="1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  <c r="IU1477" s="1"/>
      <c r="IV1477" s="1"/>
      <c r="IW1477" s="1"/>
      <c r="IX1477" s="1"/>
      <c r="IY1477" s="1"/>
      <c r="IZ1477" s="1"/>
      <c r="JA1477" s="1"/>
      <c r="JB1477" s="1"/>
      <c r="JC1477" s="1"/>
      <c r="JD1477" s="1"/>
      <c r="JE1477" s="1"/>
      <c r="JF1477" s="1"/>
      <c r="JG1477" s="1"/>
      <c r="JH1477" s="1"/>
      <c r="JI1477" s="1"/>
      <c r="JJ1477" s="1"/>
      <c r="JK1477" s="1"/>
      <c r="JL1477" s="1"/>
      <c r="JM1477" s="1"/>
      <c r="JN1477" s="1"/>
      <c r="JO1477" s="1"/>
      <c r="JP1477" s="1"/>
      <c r="JQ1477" s="1"/>
      <c r="JR1477" s="1"/>
      <c r="JS1477" s="1"/>
      <c r="JT1477" s="1"/>
      <c r="JU1477" s="1"/>
      <c r="JV1477" s="1"/>
      <c r="JW1477" s="1"/>
      <c r="JX1477" s="1"/>
      <c r="JY1477" s="1"/>
      <c r="JZ1477" s="1"/>
      <c r="KA1477" s="1"/>
      <c r="KB1477" s="1"/>
      <c r="KC1477" s="1"/>
      <c r="KD1477" s="1"/>
      <c r="KE1477" s="1"/>
      <c r="KF1477" s="1"/>
      <c r="KG1477" s="1"/>
      <c r="KH1477" s="1"/>
      <c r="KI1477" s="1"/>
      <c r="KJ1477" s="1"/>
      <c r="KK1477" s="1"/>
      <c r="KL1477" s="1"/>
      <c r="KM1477" s="1"/>
      <c r="KN1477" s="1"/>
      <c r="KO1477" s="1"/>
      <c r="KP1477" s="1"/>
      <c r="KQ1477" s="1"/>
      <c r="KR1477" s="1"/>
      <c r="KS1477" s="1"/>
      <c r="KT1477" s="1"/>
      <c r="KU1477" s="1"/>
      <c r="KV1477" s="1"/>
      <c r="KW1477" s="1"/>
      <c r="KX1477" s="1"/>
      <c r="KY1477" s="1"/>
      <c r="KZ1477" s="1"/>
      <c r="LA1477" s="1"/>
      <c r="LB1477" s="1"/>
      <c r="LC1477" s="1"/>
      <c r="LD1477" s="1"/>
      <c r="LE1477" s="1"/>
      <c r="LF1477" s="1"/>
      <c r="LG1477" s="1"/>
      <c r="LH1477" s="1"/>
      <c r="LI1477" s="1"/>
      <c r="LJ1477" s="1"/>
      <c r="LK1477" s="1"/>
      <c r="LL1477" s="1"/>
      <c r="LM1477" s="1"/>
      <c r="LN1477" s="1"/>
      <c r="LO1477" s="1"/>
      <c r="LP1477" s="1"/>
      <c r="LQ1477" s="1"/>
      <c r="LR1477" s="1"/>
      <c r="LS1477" s="1"/>
      <c r="LT1477" s="1"/>
      <c r="LU1477" s="1"/>
      <c r="LV1477" s="1"/>
      <c r="LW1477" s="1"/>
      <c r="LX1477" s="1"/>
      <c r="LY1477" s="1"/>
      <c r="LZ1477" s="1"/>
      <c r="MA1477" s="1"/>
      <c r="MB1477" s="1"/>
      <c r="MC1477" s="1"/>
      <c r="MD1477" s="1"/>
      <c r="ME1477" s="1"/>
      <c r="MF1477" s="1"/>
      <c r="MG1477" s="1"/>
      <c r="MH1477" s="1"/>
      <c r="MI1477" s="1"/>
      <c r="MJ1477" s="1"/>
      <c r="MK1477" s="1"/>
      <c r="ML1477" s="1"/>
      <c r="MM1477" s="1"/>
      <c r="MN1477" s="1"/>
      <c r="MO1477" s="1"/>
      <c r="MP1477" s="1"/>
      <c r="MQ1477" s="1"/>
      <c r="MR1477" s="1"/>
      <c r="MS1477" s="1"/>
      <c r="MT1477" s="1"/>
      <c r="MU1477" s="1"/>
      <c r="MV1477" s="1"/>
      <c r="MW1477" s="1"/>
      <c r="MX1477" s="1"/>
      <c r="MY1477" s="1"/>
      <c r="MZ1477" s="1"/>
      <c r="NA1477" s="1"/>
      <c r="NB1477" s="1"/>
      <c r="NC1477" s="1"/>
      <c r="ND1477" s="1"/>
      <c r="NE1477" s="1"/>
      <c r="NF1477" s="1"/>
      <c r="NG1477" s="1"/>
      <c r="NH1477" s="1"/>
      <c r="NI1477" s="1"/>
      <c r="NJ1477" s="1"/>
      <c r="NK1477" s="1"/>
      <c r="NL1477" s="1"/>
      <c r="NM1477" s="1"/>
      <c r="NN1477" s="1"/>
      <c r="NO1477" s="1"/>
      <c r="NP1477" s="1"/>
      <c r="NQ1477" s="1"/>
      <c r="NR1477" s="1"/>
      <c r="NS1477" s="1"/>
      <c r="NT1477" s="1"/>
      <c r="NU1477" s="1"/>
      <c r="NV1477" s="1"/>
      <c r="NW1477" s="1"/>
      <c r="NX1477" s="1"/>
      <c r="NY1477" s="1"/>
      <c r="NZ1477" s="1"/>
      <c r="OA1477" s="1"/>
      <c r="OB1477" s="1"/>
      <c r="OC1477" s="1"/>
      <c r="OD1477" s="1"/>
      <c r="OE1477" s="1"/>
      <c r="OF1477" s="1"/>
      <c r="OG1477" s="1"/>
      <c r="OH1477" s="1"/>
      <c r="OI1477" s="1"/>
      <c r="OJ1477" s="1"/>
      <c r="OK1477" s="1"/>
      <c r="OL1477" s="1"/>
      <c r="OM1477" s="1"/>
      <c r="ON1477" s="1"/>
      <c r="OO1477" s="1"/>
      <c r="OP1477" s="1"/>
      <c r="OQ1477" s="1"/>
      <c r="OR1477" s="1"/>
      <c r="OS1477" s="1"/>
      <c r="OT1477" s="1"/>
      <c r="OU1477" s="1"/>
      <c r="OV1477" s="1"/>
      <c r="OW1477" s="1"/>
      <c r="OX1477" s="1"/>
      <c r="OY1477" s="1"/>
      <c r="OZ1477" s="1"/>
      <c r="PA1477" s="1"/>
      <c r="PB1477" s="1"/>
      <c r="PC1477" s="1"/>
      <c r="PD1477" s="1"/>
      <c r="PE1477" s="1"/>
      <c r="PF1477" s="1"/>
      <c r="PG1477" s="1"/>
      <c r="PH1477" s="1"/>
      <c r="PI1477" s="1"/>
      <c r="PJ1477" s="1"/>
      <c r="PK1477" s="1"/>
      <c r="PL1477" s="1"/>
      <c r="PM1477" s="1"/>
      <c r="PN1477" s="1"/>
      <c r="PO1477" s="1"/>
      <c r="PP1477" s="1"/>
      <c r="PQ1477" s="1"/>
      <c r="PR1477" s="1"/>
      <c r="PS1477" s="1"/>
      <c r="PT1477" s="1"/>
      <c r="PU1477" s="1"/>
      <c r="PV1477" s="1"/>
      <c r="PW1477" s="1"/>
      <c r="PX1477" s="1"/>
      <c r="PY1477" s="1"/>
      <c r="PZ1477" s="1"/>
      <c r="QA1477" s="1"/>
      <c r="QB1477" s="1"/>
      <c r="QC1477" s="1"/>
      <c r="QD1477" s="1"/>
      <c r="QE1477" s="1"/>
      <c r="QF1477" s="1"/>
      <c r="QG1477" s="1"/>
      <c r="QH1477" s="1"/>
      <c r="QI1477" s="1"/>
      <c r="QJ1477" s="1"/>
      <c r="QK1477" s="1"/>
      <c r="QL1477" s="1"/>
      <c r="QM1477" s="1"/>
      <c r="QN1477" s="1"/>
      <c r="QO1477" s="1"/>
      <c r="QP1477" s="1"/>
      <c r="QQ1477" s="1"/>
      <c r="QR1477" s="1"/>
      <c r="QS1477" s="1"/>
      <c r="QT1477" s="1"/>
      <c r="QU1477" s="1"/>
      <c r="QV1477" s="1"/>
      <c r="QW1477" s="1"/>
      <c r="QX1477" s="1"/>
      <c r="QY1477" s="1"/>
      <c r="QZ1477" s="1"/>
      <c r="RA1477" s="1"/>
      <c r="RB1477" s="1"/>
      <c r="RC1477" s="1"/>
      <c r="RD1477" s="1"/>
      <c r="RE1477" s="1"/>
      <c r="RF1477" s="1"/>
      <c r="RG1477" s="1"/>
      <c r="RH1477" s="1"/>
      <c r="RI1477" s="1"/>
      <c r="RJ1477" s="1"/>
      <c r="RK1477" s="1"/>
      <c r="RL1477" s="1"/>
      <c r="RM1477" s="1"/>
      <c r="RN1477" s="1"/>
      <c r="RO1477" s="1"/>
      <c r="RP1477" s="1"/>
      <c r="RQ1477" s="1"/>
      <c r="RR1477" s="1"/>
      <c r="RS1477" s="1"/>
      <c r="RT1477" s="1"/>
      <c r="RU1477" s="1"/>
      <c r="RV1477" s="1"/>
      <c r="RW1477" s="1"/>
      <c r="RX1477" s="1"/>
      <c r="RY1477" s="1"/>
      <c r="RZ1477" s="1"/>
      <c r="SA1477" s="1"/>
      <c r="SB1477" s="1"/>
      <c r="SC1477" s="1"/>
      <c r="SD1477" s="1"/>
      <c r="SE1477" s="1"/>
      <c r="SF1477" s="1"/>
      <c r="SG1477" s="1"/>
      <c r="SH1477" s="1"/>
      <c r="SI1477" s="1"/>
      <c r="SJ1477" s="1"/>
      <c r="SK1477" s="1"/>
      <c r="SL1477" s="1"/>
      <c r="SM1477" s="1"/>
      <c r="SN1477" s="1"/>
      <c r="SO1477" s="1"/>
      <c r="SP1477" s="1"/>
      <c r="SQ1477" s="1"/>
      <c r="SR1477" s="1"/>
      <c r="SS1477" s="1"/>
      <c r="ST1477" s="1"/>
      <c r="SU1477" s="1"/>
      <c r="SV1477" s="1"/>
      <c r="SW1477" s="1"/>
      <c r="SX1477" s="1"/>
      <c r="SY1477" s="1"/>
      <c r="SZ1477" s="1"/>
      <c r="TA1477" s="1"/>
      <c r="TB1477" s="1"/>
      <c r="TC1477" s="1"/>
      <c r="TD1477" s="1"/>
      <c r="TE1477" s="1"/>
      <c r="TF1477" s="1"/>
      <c r="TG1477" s="1"/>
      <c r="TH1477" s="1"/>
      <c r="TI1477" s="1"/>
      <c r="TJ1477" s="1"/>
      <c r="TK1477" s="1"/>
      <c r="TL1477" s="1"/>
      <c r="TM1477" s="1"/>
      <c r="TN1477" s="1"/>
      <c r="TO1477" s="1"/>
      <c r="TP1477" s="1"/>
      <c r="TQ1477" s="1"/>
      <c r="TR1477" s="1"/>
      <c r="TS1477" s="1"/>
      <c r="TT1477" s="1"/>
      <c r="TU1477" s="1"/>
      <c r="TV1477" s="1"/>
      <c r="TW1477" s="1"/>
      <c r="TX1477" s="1"/>
      <c r="TY1477" s="1"/>
      <c r="TZ1477" s="1"/>
      <c r="UA1477" s="1"/>
      <c r="UB1477" s="1"/>
      <c r="UC1477" s="1"/>
      <c r="UD1477" s="1"/>
      <c r="UE1477" s="1"/>
      <c r="UF1477" s="1"/>
      <c r="UG1477" s="1"/>
      <c r="UH1477" s="1"/>
      <c r="UI1477" s="1"/>
      <c r="UJ1477" s="1"/>
      <c r="UK1477" s="1"/>
      <c r="UL1477" s="1"/>
      <c r="UM1477" s="1"/>
      <c r="UN1477" s="1"/>
      <c r="UO1477" s="1"/>
      <c r="UP1477" s="1"/>
      <c r="UQ1477" s="1"/>
      <c r="UR1477" s="1"/>
      <c r="US1477" s="1"/>
      <c r="UT1477" s="1"/>
      <c r="UU1477" s="1"/>
      <c r="UV1477" s="1"/>
      <c r="UW1477" s="1"/>
      <c r="UX1477" s="1"/>
      <c r="UY1477" s="1"/>
      <c r="UZ1477" s="1"/>
      <c r="VA1477" s="1"/>
      <c r="VB1477" s="1"/>
      <c r="VC1477" s="1"/>
      <c r="VD1477" s="1"/>
      <c r="VE1477" s="1"/>
      <c r="VF1477" s="1"/>
      <c r="VG1477" s="1"/>
      <c r="VH1477" s="1"/>
      <c r="VI1477" s="1"/>
      <c r="VJ1477" s="1"/>
      <c r="VK1477" s="1"/>
      <c r="VL1477" s="1"/>
      <c r="VM1477" s="1"/>
      <c r="VN1477" s="1"/>
      <c r="VO1477" s="1"/>
      <c r="VP1477" s="1"/>
      <c r="VQ1477" s="1"/>
      <c r="VR1477" s="1"/>
      <c r="VS1477" s="1"/>
      <c r="VT1477" s="1"/>
      <c r="VU1477" s="1"/>
      <c r="VV1477" s="1"/>
      <c r="VW1477" s="1"/>
      <c r="VX1477" s="1"/>
      <c r="VY1477" s="1"/>
      <c r="VZ1477" s="1"/>
      <c r="WA1477" s="1"/>
      <c r="WB1477" s="1"/>
      <c r="WC1477" s="1"/>
      <c r="WD1477" s="1"/>
      <c r="WE1477" s="1"/>
      <c r="WF1477" s="1"/>
      <c r="WG1477" s="1"/>
      <c r="WH1477" s="1"/>
      <c r="WI1477" s="1"/>
      <c r="WJ1477" s="1"/>
      <c r="WK1477" s="1"/>
      <c r="WL1477" s="1"/>
      <c r="WM1477" s="1"/>
      <c r="WN1477" s="1"/>
      <c r="WO1477" s="1"/>
      <c r="WP1477" s="1"/>
      <c r="WQ1477" s="1"/>
      <c r="WR1477" s="1"/>
      <c r="WS1477" s="1"/>
      <c r="WT1477" s="1"/>
      <c r="WU1477" s="1"/>
      <c r="WV1477" s="1"/>
      <c r="WW1477" s="1"/>
      <c r="WX1477" s="1"/>
      <c r="WY1477" s="1"/>
      <c r="WZ1477" s="1"/>
      <c r="XA1477" s="1"/>
      <c r="XB1477" s="1"/>
      <c r="XC1477" s="1"/>
      <c r="XD1477" s="1"/>
      <c r="XE1477" s="1"/>
      <c r="XF1477" s="1"/>
      <c r="XG1477" s="1"/>
      <c r="XH1477" s="1"/>
      <c r="XI1477" s="1"/>
      <c r="XJ1477" s="1"/>
      <c r="XK1477" s="1"/>
      <c r="XL1477" s="1"/>
      <c r="XM1477" s="1"/>
      <c r="XN1477" s="1"/>
      <c r="XO1477" s="1"/>
      <c r="XP1477" s="1"/>
      <c r="XQ1477" s="1"/>
      <c r="XR1477" s="1"/>
      <c r="XS1477" s="1"/>
      <c r="XT1477" s="1"/>
      <c r="XU1477" s="1"/>
      <c r="XV1477" s="1"/>
      <c r="XW1477" s="1"/>
      <c r="XX1477" s="1"/>
      <c r="XY1477" s="1"/>
      <c r="XZ1477" s="1"/>
      <c r="YA1477" s="1"/>
      <c r="YB1477" s="1"/>
      <c r="YC1477" s="1"/>
      <c r="YD1477" s="1"/>
      <c r="YE1477" s="1"/>
      <c r="YF1477" s="1"/>
      <c r="YG1477" s="1"/>
      <c r="YH1477" s="1"/>
      <c r="YI1477" s="1"/>
      <c r="YJ1477" s="1"/>
      <c r="YK1477" s="1"/>
      <c r="YL1477" s="1"/>
      <c r="YM1477" s="1"/>
      <c r="YN1477" s="1"/>
      <c r="YO1477" s="1"/>
      <c r="YP1477" s="1"/>
      <c r="YQ1477" s="1"/>
      <c r="YR1477" s="1"/>
      <c r="YS1477" s="1"/>
      <c r="YT1477" s="1"/>
      <c r="YU1477" s="1"/>
      <c r="YV1477" s="1"/>
      <c r="YW1477" s="1"/>
      <c r="YX1477" s="1"/>
      <c r="YY1477" s="1"/>
      <c r="YZ1477" s="1"/>
      <c r="ZA1477" s="1"/>
      <c r="ZB1477" s="1"/>
      <c r="ZC1477" s="1"/>
      <c r="ZD1477" s="1"/>
      <c r="ZE1477" s="1"/>
      <c r="ZF1477" s="1"/>
      <c r="ZG1477" s="1"/>
      <c r="ZH1477" s="1"/>
      <c r="ZI1477" s="1"/>
      <c r="ZJ1477" s="1"/>
      <c r="ZK1477" s="1"/>
      <c r="ZL1477" s="1"/>
      <c r="ZM1477" s="1"/>
      <c r="ZN1477" s="1"/>
      <c r="ZO1477" s="1"/>
      <c r="ZP1477" s="1"/>
      <c r="ZQ1477" s="1"/>
      <c r="ZR1477" s="1"/>
      <c r="ZS1477" s="1"/>
      <c r="ZT1477" s="1"/>
      <c r="ZU1477" s="1"/>
      <c r="ZV1477" s="1"/>
      <c r="ZW1477" s="1"/>
      <c r="ZX1477" s="1"/>
      <c r="ZY1477" s="1"/>
      <c r="ZZ1477" s="1"/>
      <c r="AAA1477" s="1"/>
      <c r="AAB1477" s="1"/>
      <c r="AAC1477" s="1"/>
      <c r="AAD1477" s="1"/>
      <c r="AAE1477" s="1"/>
      <c r="AAF1477" s="1"/>
      <c r="AAG1477" s="1"/>
      <c r="AAH1477" s="1"/>
      <c r="AAI1477" s="1"/>
      <c r="AAJ1477" s="1"/>
      <c r="AAK1477" s="1"/>
      <c r="AAL1477" s="1"/>
      <c r="AAM1477" s="1"/>
      <c r="AAN1477" s="1"/>
      <c r="AAO1477" s="1"/>
      <c r="AAP1477" s="1"/>
      <c r="AAQ1477" s="1"/>
      <c r="AAR1477" s="1"/>
      <c r="AAS1477" s="1"/>
      <c r="AAT1477" s="1"/>
      <c r="AAU1477" s="1"/>
      <c r="AAV1477" s="1"/>
      <c r="AAW1477" s="1"/>
      <c r="AAX1477" s="1"/>
      <c r="AAY1477" s="1"/>
      <c r="AAZ1477" s="1"/>
      <c r="ABA1477" s="1"/>
      <c r="ABB1477" s="1"/>
      <c r="ABC1477" s="1"/>
      <c r="ABD1477" s="1"/>
      <c r="ABE1477" s="1"/>
      <c r="ABF1477" s="1"/>
      <c r="ABG1477" s="1"/>
      <c r="ABH1477" s="1"/>
      <c r="ABI1477" s="1"/>
      <c r="ABJ1477" s="1"/>
      <c r="ABK1477" s="1"/>
      <c r="ABL1477" s="1"/>
      <c r="ABM1477" s="1"/>
      <c r="ABN1477" s="1"/>
      <c r="ABO1477" s="1"/>
      <c r="ABP1477" s="1"/>
      <c r="ABQ1477" s="1"/>
      <c r="ABR1477" s="1"/>
      <c r="ABS1477" s="1"/>
      <c r="ABT1477" s="1"/>
      <c r="ABU1477" s="1"/>
      <c r="ABV1477" s="1"/>
      <c r="ABW1477" s="1"/>
      <c r="ABX1477" s="1"/>
      <c r="ABY1477" s="1"/>
      <c r="ABZ1477" s="1"/>
      <c r="ACA1477" s="1"/>
      <c r="ACB1477" s="1"/>
      <c r="ACC1477" s="1"/>
      <c r="ACD1477" s="1"/>
      <c r="ACE1477" s="1"/>
      <c r="ACF1477" s="1"/>
      <c r="ACG1477" s="1"/>
      <c r="ACH1477" s="1"/>
      <c r="ACI1477" s="1"/>
      <c r="ACJ1477" s="1"/>
      <c r="ACK1477" s="1"/>
      <c r="ACL1477" s="1"/>
      <c r="ACM1477" s="1"/>
      <c r="ACN1477" s="1"/>
      <c r="ACO1477" s="1"/>
      <c r="ACP1477" s="1"/>
      <c r="ACQ1477" s="1"/>
      <c r="ACR1477" s="1"/>
      <c r="ACS1477" s="1"/>
      <c r="ACT1477" s="1"/>
      <c r="ACU1477" s="1"/>
      <c r="ACV1477" s="1"/>
      <c r="ACW1477" s="1"/>
      <c r="ACX1477" s="1"/>
      <c r="ACY1477" s="1"/>
      <c r="ACZ1477" s="1"/>
      <c r="ADA1477" s="1"/>
      <c r="ADB1477" s="1"/>
      <c r="ADC1477" s="1"/>
      <c r="ADD1477" s="1"/>
      <c r="ADE1477" s="1"/>
      <c r="ADF1477" s="1"/>
      <c r="ADG1477" s="1"/>
      <c r="ADH1477" s="1"/>
      <c r="ADI1477" s="1"/>
      <c r="ADJ1477" s="1"/>
      <c r="ADK1477" s="1"/>
      <c r="ADL1477" s="1"/>
      <c r="ADM1477" s="1"/>
      <c r="ADN1477" s="1"/>
      <c r="ADO1477" s="1"/>
      <c r="ADP1477" s="1"/>
      <c r="ADQ1477" s="1"/>
      <c r="ADR1477" s="1"/>
      <c r="ADS1477" s="1"/>
      <c r="ADT1477" s="1"/>
      <c r="ADU1477" s="1"/>
      <c r="ADV1477" s="1"/>
      <c r="ADW1477" s="1"/>
      <c r="ADX1477" s="1"/>
      <c r="ADY1477" s="1"/>
      <c r="ADZ1477" s="1"/>
      <c r="AEA1477" s="1"/>
      <c r="AEB1477" s="1"/>
      <c r="AEC1477" s="1"/>
      <c r="AED1477" s="1"/>
      <c r="AEE1477" s="1"/>
      <c r="AEF1477" s="1"/>
      <c r="AEG1477" s="1"/>
      <c r="AEH1477" s="1"/>
      <c r="AEI1477" s="1"/>
      <c r="AEJ1477" s="1"/>
      <c r="AEK1477" s="1"/>
      <c r="AEL1477" s="1"/>
      <c r="AEM1477" s="1"/>
      <c r="AEN1477" s="1"/>
      <c r="AEO1477" s="1"/>
      <c r="AEP1477" s="1"/>
      <c r="AEQ1477" s="1"/>
      <c r="AER1477" s="1"/>
      <c r="AES1477" s="1"/>
      <c r="AET1477" s="1"/>
      <c r="AEU1477" s="1"/>
      <c r="AEV1477" s="1"/>
      <c r="AEW1477" s="1"/>
      <c r="AEX1477" s="1"/>
      <c r="AEY1477" s="1"/>
      <c r="AEZ1477" s="1"/>
      <c r="AFA1477" s="1"/>
      <c r="AFB1477" s="1"/>
      <c r="AFC1477" s="1"/>
      <c r="AFD1477" s="1"/>
      <c r="AFE1477" s="1"/>
      <c r="AFF1477" s="1"/>
      <c r="AFG1477" s="1"/>
      <c r="AFH1477" s="1"/>
      <c r="AFI1477" s="1"/>
      <c r="AFJ1477" s="1"/>
      <c r="AFK1477" s="1"/>
      <c r="AFL1477" s="1"/>
      <c r="AFM1477" s="1"/>
      <c r="AFN1477" s="1"/>
      <c r="AFO1477" s="1"/>
      <c r="AFP1477" s="1"/>
      <c r="AFQ1477" s="1"/>
      <c r="AFR1477" s="1"/>
      <c r="AFS1477" s="1"/>
      <c r="AFT1477" s="1"/>
      <c r="AFU1477" s="1"/>
      <c r="AFV1477" s="1"/>
      <c r="AFW1477" s="1"/>
      <c r="AFX1477" s="1"/>
      <c r="AFY1477" s="1"/>
      <c r="AFZ1477" s="1"/>
      <c r="AGA1477" s="1"/>
      <c r="AGB1477" s="1"/>
      <c r="AGC1477" s="1"/>
      <c r="AGD1477" s="1"/>
      <c r="AGE1477" s="1"/>
      <c r="AGF1477" s="1"/>
      <c r="AGG1477" s="1"/>
      <c r="AGH1477" s="1"/>
      <c r="AGI1477" s="1"/>
      <c r="AGJ1477" s="1"/>
      <c r="AGK1477" s="1"/>
      <c r="AGL1477" s="1"/>
      <c r="AGM1477" s="1"/>
      <c r="AGN1477" s="1"/>
      <c r="AGO1477" s="1"/>
      <c r="AGP1477" s="1"/>
      <c r="AGQ1477" s="1"/>
      <c r="AGR1477" s="1"/>
      <c r="AGS1477" s="1"/>
      <c r="AGT1477" s="1"/>
      <c r="AGU1477" s="1"/>
      <c r="AGV1477" s="1"/>
      <c r="AGW1477" s="1"/>
      <c r="AGX1477" s="1"/>
      <c r="AGY1477" s="1"/>
      <c r="AGZ1477" s="1"/>
      <c r="AHA1477" s="1"/>
      <c r="AHB1477" s="1"/>
      <c r="AHC1477" s="1"/>
      <c r="AHD1477" s="1"/>
      <c r="AHE1477" s="1"/>
      <c r="AHF1477" s="1"/>
      <c r="AHG1477" s="1"/>
      <c r="AHH1477" s="1"/>
      <c r="AHI1477" s="1"/>
      <c r="AHJ1477" s="1"/>
      <c r="AHK1477" s="1"/>
      <c r="AHL1477" s="1"/>
      <c r="AHM1477" s="1"/>
      <c r="AHN1477" s="1"/>
      <c r="AHO1477" s="1"/>
      <c r="AHP1477" s="1"/>
      <c r="AHQ1477" s="1"/>
      <c r="AHR1477" s="1"/>
      <c r="AHS1477" s="1"/>
      <c r="AHT1477" s="1"/>
      <c r="AHU1477" s="1"/>
      <c r="AHV1477" s="1"/>
      <c r="AHW1477" s="1"/>
      <c r="AHX1477" s="1"/>
      <c r="AHY1477" s="1"/>
      <c r="AHZ1477" s="1"/>
      <c r="AIA1477" s="1"/>
      <c r="AIB1477" s="1"/>
      <c r="AIC1477" s="1"/>
      <c r="AID1477" s="1"/>
      <c r="AIE1477" s="1"/>
      <c r="AIF1477" s="1"/>
      <c r="AIG1477" s="1"/>
      <c r="AIH1477" s="1"/>
      <c r="AII1477" s="1"/>
      <c r="AIJ1477" s="1"/>
      <c r="AIK1477" s="1"/>
      <c r="AIL1477" s="1"/>
      <c r="AIM1477" s="1"/>
      <c r="AIN1477" s="1"/>
      <c r="AIO1477" s="1"/>
      <c r="AIP1477" s="1"/>
      <c r="AIQ1477" s="1"/>
      <c r="AIR1477" s="1"/>
      <c r="AIS1477" s="1"/>
      <c r="AIT1477" s="1"/>
      <c r="AIU1477" s="1"/>
      <c r="AIV1477" s="1"/>
      <c r="AIW1477" s="1"/>
      <c r="AIX1477" s="1"/>
      <c r="AIY1477" s="1"/>
      <c r="AIZ1477" s="1"/>
      <c r="AJA1477" s="1"/>
      <c r="AJB1477" s="1"/>
      <c r="AJC1477" s="1"/>
      <c r="AJD1477" s="1"/>
      <c r="AJE1477" s="1"/>
      <c r="AJF1477" s="1"/>
      <c r="AJG1477" s="1"/>
      <c r="AJH1477" s="1"/>
      <c r="AJI1477" s="1"/>
      <c r="AJJ1477" s="1"/>
      <c r="AJK1477" s="1"/>
      <c r="AJL1477" s="1"/>
      <c r="AJM1477" s="1"/>
      <c r="AJN1477" s="1"/>
      <c r="AJO1477" s="1"/>
      <c r="AJP1477" s="1"/>
      <c r="AJQ1477" s="1"/>
      <c r="AJR1477" s="1"/>
      <c r="AJS1477" s="1"/>
      <c r="AJT1477" s="1"/>
      <c r="AJU1477" s="1"/>
      <c r="AJV1477" s="1"/>
      <c r="AJW1477" s="1"/>
      <c r="AJX1477" s="1"/>
      <c r="AJY1477" s="1"/>
      <c r="AJZ1477" s="1"/>
      <c r="AKA1477" s="1"/>
      <c r="AKB1477" s="1"/>
      <c r="AKC1477" s="1"/>
      <c r="AKD1477" s="1"/>
      <c r="AKE1477" s="1"/>
      <c r="AKF1477" s="1"/>
      <c r="AKG1477" s="1"/>
      <c r="AKH1477" s="1"/>
      <c r="AKI1477" s="1"/>
      <c r="AKJ1477" s="1"/>
      <c r="AKK1477" s="1"/>
      <c r="AKL1477" s="1"/>
      <c r="AKM1477" s="1"/>
      <c r="AKN1477" s="1"/>
      <c r="AKO1477" s="1"/>
      <c r="AKP1477" s="1"/>
      <c r="AKQ1477" s="1"/>
      <c r="AKR1477" s="1"/>
      <c r="AKS1477" s="1"/>
      <c r="AKT1477" s="1"/>
      <c r="AKU1477" s="1"/>
      <c r="AKV1477" s="1"/>
      <c r="AKW1477" s="1"/>
      <c r="AKX1477" s="1"/>
      <c r="AKY1477" s="1"/>
      <c r="AKZ1477" s="1"/>
      <c r="ALA1477" s="1"/>
      <c r="ALB1477" s="1"/>
      <c r="ALC1477" s="1"/>
      <c r="ALD1477" s="1"/>
      <c r="ALE1477" s="1"/>
      <c r="ALF1477" s="1"/>
      <c r="ALG1477" s="1"/>
      <c r="ALH1477" s="1"/>
      <c r="ALI1477" s="1"/>
      <c r="ALJ1477" s="1"/>
      <c r="ALK1477" s="1"/>
      <c r="ALL1477" s="1"/>
      <c r="ALM1477" s="1"/>
      <c r="ALN1477" s="1"/>
      <c r="ALO1477" s="1"/>
      <c r="ALP1477" s="1"/>
      <c r="ALQ1477" s="1"/>
      <c r="ALR1477" s="1"/>
      <c r="ALS1477" s="1"/>
      <c r="ALT1477" s="1"/>
      <c r="ALU1477" s="1"/>
      <c r="ALV1477" s="1"/>
      <c r="ALW1477" s="1"/>
      <c r="ALX1477" s="1"/>
      <c r="ALY1477" s="1"/>
      <c r="ALZ1477" s="1"/>
      <c r="AMA1477" s="1"/>
      <c r="AMB1477" s="1"/>
      <c r="AMC1477" s="1"/>
      <c r="AMD1477" s="1"/>
      <c r="AME1477" s="1"/>
      <c r="AMF1477" s="1"/>
      <c r="AMG1477" s="1"/>
      <c r="AMH1477" s="1"/>
      <c r="AMI1477" s="1"/>
      <c r="AMJ1477" s="1"/>
      <c r="AMK1477" s="1"/>
    </row>
    <row r="1478" spans="1:1025" s="2" customFormat="1" ht="20.65" customHeight="1" x14ac:dyDescent="0.25">
      <c r="A1478" s="201"/>
      <c r="B1478" s="202"/>
      <c r="C1478" s="202"/>
      <c r="D1478" s="202"/>
      <c r="E1478" s="202"/>
      <c r="F1478" s="202"/>
      <c r="G1478" s="202"/>
      <c r="H1478" s="202"/>
      <c r="I1478" s="203"/>
      <c r="J1478" s="1280" t="s">
        <v>6</v>
      </c>
      <c r="K1478" s="160"/>
      <c r="L1478" s="924" t="s">
        <v>2</v>
      </c>
      <c r="M1478" s="2331">
        <f>M1403</f>
        <v>16212.04</v>
      </c>
      <c r="N1478" s="192"/>
      <c r="O1478" s="924"/>
      <c r="P1478" s="1280" t="s">
        <v>6</v>
      </c>
      <c r="Q1478" s="924"/>
      <c r="R1478" s="924" t="s">
        <v>2</v>
      </c>
      <c r="S1478" s="1366"/>
      <c r="T1478" s="192"/>
      <c r="U1478" s="924"/>
      <c r="V1478" s="1280" t="s">
        <v>6</v>
      </c>
      <c r="W1478" s="924"/>
      <c r="X1478" s="924" t="s">
        <v>4</v>
      </c>
      <c r="Y1478" s="1366"/>
      <c r="Z1478" s="192"/>
      <c r="AA1478" s="924"/>
      <c r="AB1478" s="1280" t="s">
        <v>6</v>
      </c>
      <c r="AC1478" s="924"/>
      <c r="AD1478" s="924" t="s">
        <v>4</v>
      </c>
      <c r="AE1478" s="1366"/>
      <c r="AF1478" s="192"/>
      <c r="AG1478" s="924"/>
      <c r="AH1478" s="1280" t="s">
        <v>6</v>
      </c>
      <c r="AI1478" s="924"/>
      <c r="AJ1478" s="924" t="s">
        <v>4</v>
      </c>
      <c r="AK1478" s="1366"/>
      <c r="AL1478" s="192"/>
      <c r="AM1478" s="924"/>
      <c r="AN1478" s="1280" t="s">
        <v>6</v>
      </c>
      <c r="AO1478" s="924"/>
      <c r="AP1478" s="924" t="s">
        <v>4</v>
      </c>
      <c r="AQ1478" s="1366"/>
      <c r="AR1478" s="1954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  <c r="EA1478" s="1"/>
      <c r="EB1478" s="1"/>
      <c r="EC1478" s="1"/>
      <c r="ED1478" s="1"/>
      <c r="EE1478" s="1"/>
      <c r="EF1478" s="1"/>
      <c r="EG1478" s="1"/>
      <c r="EH1478" s="1"/>
      <c r="EI1478" s="1"/>
      <c r="EJ1478" s="1"/>
      <c r="EK1478" s="1"/>
      <c r="EL1478" s="1"/>
      <c r="EM1478" s="1"/>
      <c r="EN1478" s="1"/>
      <c r="EO1478" s="1"/>
      <c r="EP1478" s="1"/>
      <c r="EQ1478" s="1"/>
      <c r="ER1478" s="1"/>
      <c r="ES1478" s="1"/>
      <c r="ET1478" s="1"/>
      <c r="EU1478" s="1"/>
      <c r="EV1478" s="1"/>
      <c r="EW1478" s="1"/>
      <c r="EX1478" s="1"/>
      <c r="EY1478" s="1"/>
      <c r="EZ1478" s="1"/>
      <c r="FA1478" s="1"/>
      <c r="FB1478" s="1"/>
      <c r="FC1478" s="1"/>
      <c r="FD1478" s="1"/>
      <c r="FE1478" s="1"/>
      <c r="FF1478" s="1"/>
      <c r="FG1478" s="1"/>
      <c r="FH1478" s="1"/>
      <c r="FI1478" s="1"/>
      <c r="FJ1478" s="1"/>
      <c r="FK1478" s="1"/>
      <c r="FL1478" s="1"/>
      <c r="FM1478" s="1"/>
      <c r="FN1478" s="1"/>
      <c r="FO1478" s="1"/>
      <c r="FP1478" s="1"/>
      <c r="FQ1478" s="1"/>
      <c r="FR1478" s="1"/>
      <c r="FS1478" s="1"/>
      <c r="FT1478" s="1"/>
      <c r="FU1478" s="1"/>
      <c r="FV1478" s="1"/>
      <c r="FW1478" s="1"/>
      <c r="FX1478" s="1"/>
      <c r="FY1478" s="1"/>
      <c r="FZ1478" s="1"/>
      <c r="GA1478" s="1"/>
      <c r="GB1478" s="1"/>
      <c r="GC1478" s="1"/>
      <c r="GD1478" s="1"/>
      <c r="GE1478" s="1"/>
      <c r="GF1478" s="1"/>
      <c r="GG1478" s="1"/>
      <c r="GH1478" s="1"/>
      <c r="GI1478" s="1"/>
      <c r="GJ1478" s="1"/>
      <c r="GK1478" s="1"/>
      <c r="GL1478" s="1"/>
      <c r="GM1478" s="1"/>
      <c r="GN1478" s="1"/>
      <c r="GO1478" s="1"/>
      <c r="GP1478" s="1"/>
      <c r="GQ1478" s="1"/>
      <c r="GR1478" s="1"/>
      <c r="GS1478" s="1"/>
      <c r="GT1478" s="1"/>
      <c r="GU1478" s="1"/>
      <c r="GV1478" s="1"/>
      <c r="GW1478" s="1"/>
      <c r="GX1478" s="1"/>
      <c r="GY1478" s="1"/>
      <c r="GZ1478" s="1"/>
      <c r="HA1478" s="1"/>
      <c r="HB1478" s="1"/>
      <c r="HC1478" s="1"/>
      <c r="HD1478" s="1"/>
      <c r="HE1478" s="1"/>
      <c r="HF1478" s="1"/>
      <c r="HG1478" s="1"/>
      <c r="HH1478" s="1"/>
      <c r="HI1478" s="1"/>
      <c r="HJ1478" s="1"/>
      <c r="HK1478" s="1"/>
      <c r="HL1478" s="1"/>
      <c r="HM1478" s="1"/>
      <c r="HN1478" s="1"/>
      <c r="HO1478" s="1"/>
      <c r="HP1478" s="1"/>
      <c r="HQ1478" s="1"/>
      <c r="HR1478" s="1"/>
      <c r="HS1478" s="1"/>
      <c r="HT1478" s="1"/>
      <c r="HU1478" s="1"/>
      <c r="HV1478" s="1"/>
      <c r="HW1478" s="1"/>
      <c r="HX1478" s="1"/>
      <c r="HY1478" s="1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  <c r="IU1478" s="1"/>
      <c r="IV1478" s="1"/>
      <c r="IW1478" s="1"/>
      <c r="IX1478" s="1"/>
      <c r="IY1478" s="1"/>
      <c r="IZ1478" s="1"/>
      <c r="JA1478" s="1"/>
      <c r="JB1478" s="1"/>
      <c r="JC1478" s="1"/>
      <c r="JD1478" s="1"/>
      <c r="JE1478" s="1"/>
      <c r="JF1478" s="1"/>
      <c r="JG1478" s="1"/>
      <c r="JH1478" s="1"/>
      <c r="JI1478" s="1"/>
      <c r="JJ1478" s="1"/>
      <c r="JK1478" s="1"/>
      <c r="JL1478" s="1"/>
      <c r="JM1478" s="1"/>
      <c r="JN1478" s="1"/>
      <c r="JO1478" s="1"/>
      <c r="JP1478" s="1"/>
      <c r="JQ1478" s="1"/>
      <c r="JR1478" s="1"/>
      <c r="JS1478" s="1"/>
      <c r="JT1478" s="1"/>
      <c r="JU1478" s="1"/>
      <c r="JV1478" s="1"/>
      <c r="JW1478" s="1"/>
      <c r="JX1478" s="1"/>
      <c r="JY1478" s="1"/>
      <c r="JZ1478" s="1"/>
      <c r="KA1478" s="1"/>
      <c r="KB1478" s="1"/>
      <c r="KC1478" s="1"/>
      <c r="KD1478" s="1"/>
      <c r="KE1478" s="1"/>
      <c r="KF1478" s="1"/>
      <c r="KG1478" s="1"/>
      <c r="KH1478" s="1"/>
      <c r="KI1478" s="1"/>
      <c r="KJ1478" s="1"/>
      <c r="KK1478" s="1"/>
      <c r="KL1478" s="1"/>
      <c r="KM1478" s="1"/>
      <c r="KN1478" s="1"/>
      <c r="KO1478" s="1"/>
      <c r="KP1478" s="1"/>
      <c r="KQ1478" s="1"/>
      <c r="KR1478" s="1"/>
      <c r="KS1478" s="1"/>
      <c r="KT1478" s="1"/>
      <c r="KU1478" s="1"/>
      <c r="KV1478" s="1"/>
      <c r="KW1478" s="1"/>
      <c r="KX1478" s="1"/>
      <c r="KY1478" s="1"/>
      <c r="KZ1478" s="1"/>
      <c r="LA1478" s="1"/>
      <c r="LB1478" s="1"/>
      <c r="LC1478" s="1"/>
      <c r="LD1478" s="1"/>
      <c r="LE1478" s="1"/>
      <c r="LF1478" s="1"/>
      <c r="LG1478" s="1"/>
      <c r="LH1478" s="1"/>
      <c r="LI1478" s="1"/>
      <c r="LJ1478" s="1"/>
      <c r="LK1478" s="1"/>
      <c r="LL1478" s="1"/>
      <c r="LM1478" s="1"/>
      <c r="LN1478" s="1"/>
      <c r="LO1478" s="1"/>
      <c r="LP1478" s="1"/>
      <c r="LQ1478" s="1"/>
      <c r="LR1478" s="1"/>
      <c r="LS1478" s="1"/>
      <c r="LT1478" s="1"/>
      <c r="LU1478" s="1"/>
      <c r="LV1478" s="1"/>
      <c r="LW1478" s="1"/>
      <c r="LX1478" s="1"/>
      <c r="LY1478" s="1"/>
      <c r="LZ1478" s="1"/>
      <c r="MA1478" s="1"/>
      <c r="MB1478" s="1"/>
      <c r="MC1478" s="1"/>
      <c r="MD1478" s="1"/>
      <c r="ME1478" s="1"/>
      <c r="MF1478" s="1"/>
      <c r="MG1478" s="1"/>
      <c r="MH1478" s="1"/>
      <c r="MI1478" s="1"/>
      <c r="MJ1478" s="1"/>
      <c r="MK1478" s="1"/>
      <c r="ML1478" s="1"/>
      <c r="MM1478" s="1"/>
      <c r="MN1478" s="1"/>
      <c r="MO1478" s="1"/>
      <c r="MP1478" s="1"/>
      <c r="MQ1478" s="1"/>
      <c r="MR1478" s="1"/>
      <c r="MS1478" s="1"/>
      <c r="MT1478" s="1"/>
      <c r="MU1478" s="1"/>
      <c r="MV1478" s="1"/>
      <c r="MW1478" s="1"/>
      <c r="MX1478" s="1"/>
      <c r="MY1478" s="1"/>
      <c r="MZ1478" s="1"/>
      <c r="NA1478" s="1"/>
      <c r="NB1478" s="1"/>
      <c r="NC1478" s="1"/>
      <c r="ND1478" s="1"/>
      <c r="NE1478" s="1"/>
      <c r="NF1478" s="1"/>
      <c r="NG1478" s="1"/>
      <c r="NH1478" s="1"/>
      <c r="NI1478" s="1"/>
      <c r="NJ1478" s="1"/>
      <c r="NK1478" s="1"/>
      <c r="NL1478" s="1"/>
      <c r="NM1478" s="1"/>
      <c r="NN1478" s="1"/>
      <c r="NO1478" s="1"/>
      <c r="NP1478" s="1"/>
      <c r="NQ1478" s="1"/>
      <c r="NR1478" s="1"/>
      <c r="NS1478" s="1"/>
      <c r="NT1478" s="1"/>
      <c r="NU1478" s="1"/>
      <c r="NV1478" s="1"/>
      <c r="NW1478" s="1"/>
      <c r="NX1478" s="1"/>
      <c r="NY1478" s="1"/>
      <c r="NZ1478" s="1"/>
      <c r="OA1478" s="1"/>
      <c r="OB1478" s="1"/>
      <c r="OC1478" s="1"/>
      <c r="OD1478" s="1"/>
      <c r="OE1478" s="1"/>
      <c r="OF1478" s="1"/>
      <c r="OG1478" s="1"/>
      <c r="OH1478" s="1"/>
      <c r="OI1478" s="1"/>
      <c r="OJ1478" s="1"/>
      <c r="OK1478" s="1"/>
      <c r="OL1478" s="1"/>
      <c r="OM1478" s="1"/>
      <c r="ON1478" s="1"/>
      <c r="OO1478" s="1"/>
      <c r="OP1478" s="1"/>
      <c r="OQ1478" s="1"/>
      <c r="OR1478" s="1"/>
      <c r="OS1478" s="1"/>
      <c r="OT1478" s="1"/>
      <c r="OU1478" s="1"/>
      <c r="OV1478" s="1"/>
      <c r="OW1478" s="1"/>
      <c r="OX1478" s="1"/>
      <c r="OY1478" s="1"/>
      <c r="OZ1478" s="1"/>
      <c r="PA1478" s="1"/>
      <c r="PB1478" s="1"/>
      <c r="PC1478" s="1"/>
      <c r="PD1478" s="1"/>
      <c r="PE1478" s="1"/>
      <c r="PF1478" s="1"/>
      <c r="PG1478" s="1"/>
      <c r="PH1478" s="1"/>
      <c r="PI1478" s="1"/>
      <c r="PJ1478" s="1"/>
      <c r="PK1478" s="1"/>
      <c r="PL1478" s="1"/>
      <c r="PM1478" s="1"/>
      <c r="PN1478" s="1"/>
      <c r="PO1478" s="1"/>
      <c r="PP1478" s="1"/>
      <c r="PQ1478" s="1"/>
      <c r="PR1478" s="1"/>
      <c r="PS1478" s="1"/>
      <c r="PT1478" s="1"/>
      <c r="PU1478" s="1"/>
      <c r="PV1478" s="1"/>
      <c r="PW1478" s="1"/>
      <c r="PX1478" s="1"/>
      <c r="PY1478" s="1"/>
      <c r="PZ1478" s="1"/>
      <c r="QA1478" s="1"/>
      <c r="QB1478" s="1"/>
      <c r="QC1478" s="1"/>
      <c r="QD1478" s="1"/>
      <c r="QE1478" s="1"/>
      <c r="QF1478" s="1"/>
      <c r="QG1478" s="1"/>
      <c r="QH1478" s="1"/>
      <c r="QI1478" s="1"/>
      <c r="QJ1478" s="1"/>
      <c r="QK1478" s="1"/>
      <c r="QL1478" s="1"/>
      <c r="QM1478" s="1"/>
      <c r="QN1478" s="1"/>
      <c r="QO1478" s="1"/>
      <c r="QP1478" s="1"/>
      <c r="QQ1478" s="1"/>
      <c r="QR1478" s="1"/>
      <c r="QS1478" s="1"/>
      <c r="QT1478" s="1"/>
      <c r="QU1478" s="1"/>
      <c r="QV1478" s="1"/>
      <c r="QW1478" s="1"/>
      <c r="QX1478" s="1"/>
      <c r="QY1478" s="1"/>
      <c r="QZ1478" s="1"/>
      <c r="RA1478" s="1"/>
      <c r="RB1478" s="1"/>
      <c r="RC1478" s="1"/>
      <c r="RD1478" s="1"/>
      <c r="RE1478" s="1"/>
      <c r="RF1478" s="1"/>
      <c r="RG1478" s="1"/>
      <c r="RH1478" s="1"/>
      <c r="RI1478" s="1"/>
      <c r="RJ1478" s="1"/>
      <c r="RK1478" s="1"/>
      <c r="RL1478" s="1"/>
      <c r="RM1478" s="1"/>
      <c r="RN1478" s="1"/>
      <c r="RO1478" s="1"/>
      <c r="RP1478" s="1"/>
      <c r="RQ1478" s="1"/>
      <c r="RR1478" s="1"/>
      <c r="RS1478" s="1"/>
      <c r="RT1478" s="1"/>
      <c r="RU1478" s="1"/>
      <c r="RV1478" s="1"/>
      <c r="RW1478" s="1"/>
      <c r="RX1478" s="1"/>
      <c r="RY1478" s="1"/>
      <c r="RZ1478" s="1"/>
      <c r="SA1478" s="1"/>
      <c r="SB1478" s="1"/>
      <c r="SC1478" s="1"/>
      <c r="SD1478" s="1"/>
      <c r="SE1478" s="1"/>
      <c r="SF1478" s="1"/>
      <c r="SG1478" s="1"/>
      <c r="SH1478" s="1"/>
      <c r="SI1478" s="1"/>
      <c r="SJ1478" s="1"/>
      <c r="SK1478" s="1"/>
      <c r="SL1478" s="1"/>
      <c r="SM1478" s="1"/>
      <c r="SN1478" s="1"/>
      <c r="SO1478" s="1"/>
      <c r="SP1478" s="1"/>
      <c r="SQ1478" s="1"/>
      <c r="SR1478" s="1"/>
      <c r="SS1478" s="1"/>
      <c r="ST1478" s="1"/>
      <c r="SU1478" s="1"/>
      <c r="SV1478" s="1"/>
      <c r="SW1478" s="1"/>
      <c r="SX1478" s="1"/>
      <c r="SY1478" s="1"/>
      <c r="SZ1478" s="1"/>
      <c r="TA1478" s="1"/>
      <c r="TB1478" s="1"/>
      <c r="TC1478" s="1"/>
      <c r="TD1478" s="1"/>
      <c r="TE1478" s="1"/>
      <c r="TF1478" s="1"/>
      <c r="TG1478" s="1"/>
      <c r="TH1478" s="1"/>
      <c r="TI1478" s="1"/>
      <c r="TJ1478" s="1"/>
      <c r="TK1478" s="1"/>
      <c r="TL1478" s="1"/>
      <c r="TM1478" s="1"/>
      <c r="TN1478" s="1"/>
      <c r="TO1478" s="1"/>
      <c r="TP1478" s="1"/>
      <c r="TQ1478" s="1"/>
      <c r="TR1478" s="1"/>
      <c r="TS1478" s="1"/>
      <c r="TT1478" s="1"/>
      <c r="TU1478" s="1"/>
      <c r="TV1478" s="1"/>
      <c r="TW1478" s="1"/>
      <c r="TX1478" s="1"/>
      <c r="TY1478" s="1"/>
      <c r="TZ1478" s="1"/>
      <c r="UA1478" s="1"/>
      <c r="UB1478" s="1"/>
      <c r="UC1478" s="1"/>
      <c r="UD1478" s="1"/>
      <c r="UE1478" s="1"/>
      <c r="UF1478" s="1"/>
      <c r="UG1478" s="1"/>
      <c r="UH1478" s="1"/>
      <c r="UI1478" s="1"/>
      <c r="UJ1478" s="1"/>
      <c r="UK1478" s="1"/>
      <c r="UL1478" s="1"/>
      <c r="UM1478" s="1"/>
      <c r="UN1478" s="1"/>
      <c r="UO1478" s="1"/>
      <c r="UP1478" s="1"/>
      <c r="UQ1478" s="1"/>
      <c r="UR1478" s="1"/>
      <c r="US1478" s="1"/>
      <c r="UT1478" s="1"/>
      <c r="UU1478" s="1"/>
      <c r="UV1478" s="1"/>
      <c r="UW1478" s="1"/>
      <c r="UX1478" s="1"/>
      <c r="UY1478" s="1"/>
      <c r="UZ1478" s="1"/>
      <c r="VA1478" s="1"/>
      <c r="VB1478" s="1"/>
      <c r="VC1478" s="1"/>
      <c r="VD1478" s="1"/>
      <c r="VE1478" s="1"/>
      <c r="VF1478" s="1"/>
      <c r="VG1478" s="1"/>
      <c r="VH1478" s="1"/>
      <c r="VI1478" s="1"/>
      <c r="VJ1478" s="1"/>
      <c r="VK1478" s="1"/>
      <c r="VL1478" s="1"/>
      <c r="VM1478" s="1"/>
      <c r="VN1478" s="1"/>
      <c r="VO1478" s="1"/>
      <c r="VP1478" s="1"/>
      <c r="VQ1478" s="1"/>
      <c r="VR1478" s="1"/>
      <c r="VS1478" s="1"/>
      <c r="VT1478" s="1"/>
      <c r="VU1478" s="1"/>
      <c r="VV1478" s="1"/>
      <c r="VW1478" s="1"/>
      <c r="VX1478" s="1"/>
      <c r="VY1478" s="1"/>
      <c r="VZ1478" s="1"/>
      <c r="WA1478" s="1"/>
      <c r="WB1478" s="1"/>
      <c r="WC1478" s="1"/>
      <c r="WD1478" s="1"/>
      <c r="WE1478" s="1"/>
      <c r="WF1478" s="1"/>
      <c r="WG1478" s="1"/>
      <c r="WH1478" s="1"/>
      <c r="WI1478" s="1"/>
      <c r="WJ1478" s="1"/>
      <c r="WK1478" s="1"/>
      <c r="WL1478" s="1"/>
      <c r="WM1478" s="1"/>
      <c r="WN1478" s="1"/>
      <c r="WO1478" s="1"/>
      <c r="WP1478" s="1"/>
      <c r="WQ1478" s="1"/>
      <c r="WR1478" s="1"/>
      <c r="WS1478" s="1"/>
      <c r="WT1478" s="1"/>
      <c r="WU1478" s="1"/>
      <c r="WV1478" s="1"/>
      <c r="WW1478" s="1"/>
      <c r="WX1478" s="1"/>
      <c r="WY1478" s="1"/>
      <c r="WZ1478" s="1"/>
      <c r="XA1478" s="1"/>
      <c r="XB1478" s="1"/>
      <c r="XC1478" s="1"/>
      <c r="XD1478" s="1"/>
      <c r="XE1478" s="1"/>
      <c r="XF1478" s="1"/>
      <c r="XG1478" s="1"/>
      <c r="XH1478" s="1"/>
      <c r="XI1478" s="1"/>
      <c r="XJ1478" s="1"/>
      <c r="XK1478" s="1"/>
      <c r="XL1478" s="1"/>
      <c r="XM1478" s="1"/>
      <c r="XN1478" s="1"/>
      <c r="XO1478" s="1"/>
      <c r="XP1478" s="1"/>
      <c r="XQ1478" s="1"/>
      <c r="XR1478" s="1"/>
      <c r="XS1478" s="1"/>
      <c r="XT1478" s="1"/>
      <c r="XU1478" s="1"/>
      <c r="XV1478" s="1"/>
      <c r="XW1478" s="1"/>
      <c r="XX1478" s="1"/>
      <c r="XY1478" s="1"/>
      <c r="XZ1478" s="1"/>
      <c r="YA1478" s="1"/>
      <c r="YB1478" s="1"/>
      <c r="YC1478" s="1"/>
      <c r="YD1478" s="1"/>
      <c r="YE1478" s="1"/>
      <c r="YF1478" s="1"/>
      <c r="YG1478" s="1"/>
      <c r="YH1478" s="1"/>
      <c r="YI1478" s="1"/>
      <c r="YJ1478" s="1"/>
      <c r="YK1478" s="1"/>
      <c r="YL1478" s="1"/>
      <c r="YM1478" s="1"/>
      <c r="YN1478" s="1"/>
      <c r="YO1478" s="1"/>
      <c r="YP1478" s="1"/>
      <c r="YQ1478" s="1"/>
      <c r="YR1478" s="1"/>
      <c r="YS1478" s="1"/>
      <c r="YT1478" s="1"/>
      <c r="YU1478" s="1"/>
      <c r="YV1478" s="1"/>
      <c r="YW1478" s="1"/>
      <c r="YX1478" s="1"/>
      <c r="YY1478" s="1"/>
      <c r="YZ1478" s="1"/>
      <c r="ZA1478" s="1"/>
      <c r="ZB1478" s="1"/>
      <c r="ZC1478" s="1"/>
      <c r="ZD1478" s="1"/>
      <c r="ZE1478" s="1"/>
      <c r="ZF1478" s="1"/>
      <c r="ZG1478" s="1"/>
      <c r="ZH1478" s="1"/>
      <c r="ZI1478" s="1"/>
      <c r="ZJ1478" s="1"/>
      <c r="ZK1478" s="1"/>
      <c r="ZL1478" s="1"/>
      <c r="ZM1478" s="1"/>
      <c r="ZN1478" s="1"/>
      <c r="ZO1478" s="1"/>
      <c r="ZP1478" s="1"/>
      <c r="ZQ1478" s="1"/>
      <c r="ZR1478" s="1"/>
      <c r="ZS1478" s="1"/>
      <c r="ZT1478" s="1"/>
      <c r="ZU1478" s="1"/>
      <c r="ZV1478" s="1"/>
      <c r="ZW1478" s="1"/>
      <c r="ZX1478" s="1"/>
      <c r="ZY1478" s="1"/>
      <c r="ZZ1478" s="1"/>
      <c r="AAA1478" s="1"/>
      <c r="AAB1478" s="1"/>
      <c r="AAC1478" s="1"/>
      <c r="AAD1478" s="1"/>
      <c r="AAE1478" s="1"/>
      <c r="AAF1478" s="1"/>
      <c r="AAG1478" s="1"/>
      <c r="AAH1478" s="1"/>
      <c r="AAI1478" s="1"/>
      <c r="AAJ1478" s="1"/>
      <c r="AAK1478" s="1"/>
      <c r="AAL1478" s="1"/>
      <c r="AAM1478" s="1"/>
      <c r="AAN1478" s="1"/>
      <c r="AAO1478" s="1"/>
      <c r="AAP1478" s="1"/>
      <c r="AAQ1478" s="1"/>
      <c r="AAR1478" s="1"/>
      <c r="AAS1478" s="1"/>
      <c r="AAT1478" s="1"/>
      <c r="AAU1478" s="1"/>
      <c r="AAV1478" s="1"/>
      <c r="AAW1478" s="1"/>
      <c r="AAX1478" s="1"/>
      <c r="AAY1478" s="1"/>
      <c r="AAZ1478" s="1"/>
      <c r="ABA1478" s="1"/>
      <c r="ABB1478" s="1"/>
      <c r="ABC1478" s="1"/>
      <c r="ABD1478" s="1"/>
      <c r="ABE1478" s="1"/>
      <c r="ABF1478" s="1"/>
      <c r="ABG1478" s="1"/>
      <c r="ABH1478" s="1"/>
      <c r="ABI1478" s="1"/>
      <c r="ABJ1478" s="1"/>
      <c r="ABK1478" s="1"/>
      <c r="ABL1478" s="1"/>
      <c r="ABM1478" s="1"/>
      <c r="ABN1478" s="1"/>
      <c r="ABO1478" s="1"/>
      <c r="ABP1478" s="1"/>
      <c r="ABQ1478" s="1"/>
      <c r="ABR1478" s="1"/>
      <c r="ABS1478" s="1"/>
      <c r="ABT1478" s="1"/>
      <c r="ABU1478" s="1"/>
      <c r="ABV1478" s="1"/>
      <c r="ABW1478" s="1"/>
      <c r="ABX1478" s="1"/>
      <c r="ABY1478" s="1"/>
      <c r="ABZ1478" s="1"/>
      <c r="ACA1478" s="1"/>
      <c r="ACB1478" s="1"/>
      <c r="ACC1478" s="1"/>
      <c r="ACD1478" s="1"/>
      <c r="ACE1478" s="1"/>
      <c r="ACF1478" s="1"/>
      <c r="ACG1478" s="1"/>
      <c r="ACH1478" s="1"/>
      <c r="ACI1478" s="1"/>
      <c r="ACJ1478" s="1"/>
      <c r="ACK1478" s="1"/>
      <c r="ACL1478" s="1"/>
      <c r="ACM1478" s="1"/>
      <c r="ACN1478" s="1"/>
      <c r="ACO1478" s="1"/>
      <c r="ACP1478" s="1"/>
      <c r="ACQ1478" s="1"/>
      <c r="ACR1478" s="1"/>
      <c r="ACS1478" s="1"/>
      <c r="ACT1478" s="1"/>
      <c r="ACU1478" s="1"/>
      <c r="ACV1478" s="1"/>
      <c r="ACW1478" s="1"/>
      <c r="ACX1478" s="1"/>
      <c r="ACY1478" s="1"/>
      <c r="ACZ1478" s="1"/>
      <c r="ADA1478" s="1"/>
      <c r="ADB1478" s="1"/>
      <c r="ADC1478" s="1"/>
      <c r="ADD1478" s="1"/>
      <c r="ADE1478" s="1"/>
      <c r="ADF1478" s="1"/>
      <c r="ADG1478" s="1"/>
      <c r="ADH1478" s="1"/>
      <c r="ADI1478" s="1"/>
      <c r="ADJ1478" s="1"/>
      <c r="ADK1478" s="1"/>
      <c r="ADL1478" s="1"/>
      <c r="ADM1478" s="1"/>
      <c r="ADN1478" s="1"/>
      <c r="ADO1478" s="1"/>
      <c r="ADP1478" s="1"/>
      <c r="ADQ1478" s="1"/>
      <c r="ADR1478" s="1"/>
      <c r="ADS1478" s="1"/>
      <c r="ADT1478" s="1"/>
      <c r="ADU1478" s="1"/>
      <c r="ADV1478" s="1"/>
      <c r="ADW1478" s="1"/>
      <c r="ADX1478" s="1"/>
      <c r="ADY1478" s="1"/>
      <c r="ADZ1478" s="1"/>
      <c r="AEA1478" s="1"/>
      <c r="AEB1478" s="1"/>
      <c r="AEC1478" s="1"/>
      <c r="AED1478" s="1"/>
      <c r="AEE1478" s="1"/>
      <c r="AEF1478" s="1"/>
      <c r="AEG1478" s="1"/>
      <c r="AEH1478" s="1"/>
      <c r="AEI1478" s="1"/>
      <c r="AEJ1478" s="1"/>
      <c r="AEK1478" s="1"/>
      <c r="AEL1478" s="1"/>
      <c r="AEM1478" s="1"/>
      <c r="AEN1478" s="1"/>
      <c r="AEO1478" s="1"/>
      <c r="AEP1478" s="1"/>
      <c r="AEQ1478" s="1"/>
      <c r="AER1478" s="1"/>
      <c r="AES1478" s="1"/>
      <c r="AET1478" s="1"/>
      <c r="AEU1478" s="1"/>
      <c r="AEV1478" s="1"/>
      <c r="AEW1478" s="1"/>
      <c r="AEX1478" s="1"/>
      <c r="AEY1478" s="1"/>
      <c r="AEZ1478" s="1"/>
      <c r="AFA1478" s="1"/>
      <c r="AFB1478" s="1"/>
      <c r="AFC1478" s="1"/>
      <c r="AFD1478" s="1"/>
      <c r="AFE1478" s="1"/>
      <c r="AFF1478" s="1"/>
      <c r="AFG1478" s="1"/>
      <c r="AFH1478" s="1"/>
      <c r="AFI1478" s="1"/>
      <c r="AFJ1478" s="1"/>
      <c r="AFK1478" s="1"/>
      <c r="AFL1478" s="1"/>
      <c r="AFM1478" s="1"/>
      <c r="AFN1478" s="1"/>
      <c r="AFO1478" s="1"/>
      <c r="AFP1478" s="1"/>
      <c r="AFQ1478" s="1"/>
      <c r="AFR1478" s="1"/>
      <c r="AFS1478" s="1"/>
      <c r="AFT1478" s="1"/>
      <c r="AFU1478" s="1"/>
      <c r="AFV1478" s="1"/>
      <c r="AFW1478" s="1"/>
      <c r="AFX1478" s="1"/>
      <c r="AFY1478" s="1"/>
      <c r="AFZ1478" s="1"/>
      <c r="AGA1478" s="1"/>
      <c r="AGB1478" s="1"/>
      <c r="AGC1478" s="1"/>
      <c r="AGD1478" s="1"/>
      <c r="AGE1478" s="1"/>
      <c r="AGF1478" s="1"/>
      <c r="AGG1478" s="1"/>
      <c r="AGH1478" s="1"/>
      <c r="AGI1478" s="1"/>
      <c r="AGJ1478" s="1"/>
      <c r="AGK1478" s="1"/>
      <c r="AGL1478" s="1"/>
      <c r="AGM1478" s="1"/>
      <c r="AGN1478" s="1"/>
      <c r="AGO1478" s="1"/>
      <c r="AGP1478" s="1"/>
      <c r="AGQ1478" s="1"/>
      <c r="AGR1478" s="1"/>
      <c r="AGS1478" s="1"/>
      <c r="AGT1478" s="1"/>
      <c r="AGU1478" s="1"/>
      <c r="AGV1478" s="1"/>
      <c r="AGW1478" s="1"/>
      <c r="AGX1478" s="1"/>
      <c r="AGY1478" s="1"/>
      <c r="AGZ1478" s="1"/>
      <c r="AHA1478" s="1"/>
      <c r="AHB1478" s="1"/>
      <c r="AHC1478" s="1"/>
      <c r="AHD1478" s="1"/>
      <c r="AHE1478" s="1"/>
      <c r="AHF1478" s="1"/>
      <c r="AHG1478" s="1"/>
      <c r="AHH1478" s="1"/>
      <c r="AHI1478" s="1"/>
      <c r="AHJ1478" s="1"/>
      <c r="AHK1478" s="1"/>
      <c r="AHL1478" s="1"/>
      <c r="AHM1478" s="1"/>
      <c r="AHN1478" s="1"/>
      <c r="AHO1478" s="1"/>
      <c r="AHP1478" s="1"/>
      <c r="AHQ1478" s="1"/>
      <c r="AHR1478" s="1"/>
      <c r="AHS1478" s="1"/>
      <c r="AHT1478" s="1"/>
      <c r="AHU1478" s="1"/>
      <c r="AHV1478" s="1"/>
      <c r="AHW1478" s="1"/>
      <c r="AHX1478" s="1"/>
      <c r="AHY1478" s="1"/>
      <c r="AHZ1478" s="1"/>
      <c r="AIA1478" s="1"/>
      <c r="AIB1478" s="1"/>
      <c r="AIC1478" s="1"/>
      <c r="AID1478" s="1"/>
      <c r="AIE1478" s="1"/>
      <c r="AIF1478" s="1"/>
      <c r="AIG1478" s="1"/>
      <c r="AIH1478" s="1"/>
      <c r="AII1478" s="1"/>
      <c r="AIJ1478" s="1"/>
      <c r="AIK1478" s="1"/>
      <c r="AIL1478" s="1"/>
      <c r="AIM1478" s="1"/>
      <c r="AIN1478" s="1"/>
      <c r="AIO1478" s="1"/>
      <c r="AIP1478" s="1"/>
      <c r="AIQ1478" s="1"/>
      <c r="AIR1478" s="1"/>
      <c r="AIS1478" s="1"/>
      <c r="AIT1478" s="1"/>
      <c r="AIU1478" s="1"/>
      <c r="AIV1478" s="1"/>
      <c r="AIW1478" s="1"/>
      <c r="AIX1478" s="1"/>
      <c r="AIY1478" s="1"/>
      <c r="AIZ1478" s="1"/>
      <c r="AJA1478" s="1"/>
      <c r="AJB1478" s="1"/>
      <c r="AJC1478" s="1"/>
      <c r="AJD1478" s="1"/>
      <c r="AJE1478" s="1"/>
      <c r="AJF1478" s="1"/>
      <c r="AJG1478" s="1"/>
      <c r="AJH1478" s="1"/>
      <c r="AJI1478" s="1"/>
      <c r="AJJ1478" s="1"/>
      <c r="AJK1478" s="1"/>
      <c r="AJL1478" s="1"/>
      <c r="AJM1478" s="1"/>
      <c r="AJN1478" s="1"/>
      <c r="AJO1478" s="1"/>
      <c r="AJP1478" s="1"/>
      <c r="AJQ1478" s="1"/>
      <c r="AJR1478" s="1"/>
      <c r="AJS1478" s="1"/>
      <c r="AJT1478" s="1"/>
      <c r="AJU1478" s="1"/>
      <c r="AJV1478" s="1"/>
      <c r="AJW1478" s="1"/>
      <c r="AJX1478" s="1"/>
      <c r="AJY1478" s="1"/>
      <c r="AJZ1478" s="1"/>
      <c r="AKA1478" s="1"/>
      <c r="AKB1478" s="1"/>
      <c r="AKC1478" s="1"/>
      <c r="AKD1478" s="1"/>
      <c r="AKE1478" s="1"/>
      <c r="AKF1478" s="1"/>
      <c r="AKG1478" s="1"/>
      <c r="AKH1478" s="1"/>
      <c r="AKI1478" s="1"/>
      <c r="AKJ1478" s="1"/>
      <c r="AKK1478" s="1"/>
      <c r="AKL1478" s="1"/>
      <c r="AKM1478" s="1"/>
      <c r="AKN1478" s="1"/>
      <c r="AKO1478" s="1"/>
      <c r="AKP1478" s="1"/>
      <c r="AKQ1478" s="1"/>
      <c r="AKR1478" s="1"/>
      <c r="AKS1478" s="1"/>
      <c r="AKT1478" s="1"/>
      <c r="AKU1478" s="1"/>
      <c r="AKV1478" s="1"/>
      <c r="AKW1478" s="1"/>
      <c r="AKX1478" s="1"/>
      <c r="AKY1478" s="1"/>
      <c r="AKZ1478" s="1"/>
      <c r="ALA1478" s="1"/>
      <c r="ALB1478" s="1"/>
      <c r="ALC1478" s="1"/>
      <c r="ALD1478" s="1"/>
      <c r="ALE1478" s="1"/>
      <c r="ALF1478" s="1"/>
      <c r="ALG1478" s="1"/>
      <c r="ALH1478" s="1"/>
      <c r="ALI1478" s="1"/>
      <c r="ALJ1478" s="1"/>
      <c r="ALK1478" s="1"/>
      <c r="ALL1478" s="1"/>
      <c r="ALM1478" s="1"/>
      <c r="ALN1478" s="1"/>
      <c r="ALO1478" s="1"/>
      <c r="ALP1478" s="1"/>
      <c r="ALQ1478" s="1"/>
      <c r="ALR1478" s="1"/>
      <c r="ALS1478" s="1"/>
      <c r="ALT1478" s="1"/>
      <c r="ALU1478" s="1"/>
      <c r="ALV1478" s="1"/>
      <c r="ALW1478" s="1"/>
      <c r="ALX1478" s="1"/>
      <c r="ALY1478" s="1"/>
      <c r="ALZ1478" s="1"/>
      <c r="AMA1478" s="1"/>
      <c r="AMB1478" s="1"/>
      <c r="AMC1478" s="1"/>
      <c r="AMD1478" s="1"/>
      <c r="AME1478" s="1"/>
      <c r="AMF1478" s="1"/>
      <c r="AMG1478" s="1"/>
      <c r="AMH1478" s="1"/>
      <c r="AMI1478" s="1"/>
      <c r="AMJ1478" s="1"/>
      <c r="AMK1478" s="1"/>
    </row>
    <row r="1479" spans="1:1025" s="2" customFormat="1" ht="18.600000000000001" customHeight="1" x14ac:dyDescent="0.25">
      <c r="A1479" s="201"/>
      <c r="B1479" s="202"/>
      <c r="C1479" s="202"/>
      <c r="D1479" s="202"/>
      <c r="E1479" s="202"/>
      <c r="F1479" s="202"/>
      <c r="G1479" s="202"/>
      <c r="H1479" s="202"/>
      <c r="I1479" s="203"/>
      <c r="J1479" s="1281"/>
      <c r="K1479" s="160">
        <f>K1403</f>
        <v>52000</v>
      </c>
      <c r="L1479" s="924" t="s">
        <v>4</v>
      </c>
      <c r="M1479" s="1367"/>
      <c r="N1479" s="192"/>
      <c r="O1479" s="924"/>
      <c r="P1479" s="1281"/>
      <c r="Q1479" s="924"/>
      <c r="R1479" s="924" t="s">
        <v>4</v>
      </c>
      <c r="S1479" s="1367"/>
      <c r="T1479" s="192"/>
      <c r="U1479" s="924"/>
      <c r="V1479" s="1281"/>
      <c r="W1479" s="924"/>
      <c r="X1479" s="924" t="s">
        <v>2</v>
      </c>
      <c r="Y1479" s="1367"/>
      <c r="Z1479" s="192"/>
      <c r="AA1479" s="924"/>
      <c r="AB1479" s="1281"/>
      <c r="AC1479" s="924"/>
      <c r="AD1479" s="924" t="s">
        <v>2</v>
      </c>
      <c r="AE1479" s="1367"/>
      <c r="AF1479" s="192"/>
      <c r="AG1479" s="924"/>
      <c r="AH1479" s="1281"/>
      <c r="AI1479" s="924"/>
      <c r="AJ1479" s="924" t="s">
        <v>2</v>
      </c>
      <c r="AK1479" s="1367"/>
      <c r="AL1479" s="192"/>
      <c r="AM1479" s="924"/>
      <c r="AN1479" s="1281"/>
      <c r="AO1479" s="924"/>
      <c r="AP1479" s="924" t="s">
        <v>2</v>
      </c>
      <c r="AQ1479" s="1367"/>
      <c r="AR1479" s="1955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  <c r="EA1479" s="1"/>
      <c r="EB1479" s="1"/>
      <c r="EC1479" s="1"/>
      <c r="ED1479" s="1"/>
      <c r="EE1479" s="1"/>
      <c r="EF1479" s="1"/>
      <c r="EG1479" s="1"/>
      <c r="EH1479" s="1"/>
      <c r="EI1479" s="1"/>
      <c r="EJ1479" s="1"/>
      <c r="EK1479" s="1"/>
      <c r="EL1479" s="1"/>
      <c r="EM1479" s="1"/>
      <c r="EN1479" s="1"/>
      <c r="EO1479" s="1"/>
      <c r="EP1479" s="1"/>
      <c r="EQ1479" s="1"/>
      <c r="ER1479" s="1"/>
      <c r="ES1479" s="1"/>
      <c r="ET1479" s="1"/>
      <c r="EU1479" s="1"/>
      <c r="EV1479" s="1"/>
      <c r="EW1479" s="1"/>
      <c r="EX1479" s="1"/>
      <c r="EY1479" s="1"/>
      <c r="EZ1479" s="1"/>
      <c r="FA1479" s="1"/>
      <c r="FB1479" s="1"/>
      <c r="FC1479" s="1"/>
      <c r="FD1479" s="1"/>
      <c r="FE1479" s="1"/>
      <c r="FF1479" s="1"/>
      <c r="FG1479" s="1"/>
      <c r="FH1479" s="1"/>
      <c r="FI1479" s="1"/>
      <c r="FJ1479" s="1"/>
      <c r="FK1479" s="1"/>
      <c r="FL1479" s="1"/>
      <c r="FM1479" s="1"/>
      <c r="FN1479" s="1"/>
      <c r="FO1479" s="1"/>
      <c r="FP1479" s="1"/>
      <c r="FQ1479" s="1"/>
      <c r="FR1479" s="1"/>
      <c r="FS1479" s="1"/>
      <c r="FT1479" s="1"/>
      <c r="FU1479" s="1"/>
      <c r="FV1479" s="1"/>
      <c r="FW1479" s="1"/>
      <c r="FX1479" s="1"/>
      <c r="FY1479" s="1"/>
      <c r="FZ1479" s="1"/>
      <c r="GA1479" s="1"/>
      <c r="GB1479" s="1"/>
      <c r="GC1479" s="1"/>
      <c r="GD1479" s="1"/>
      <c r="GE1479" s="1"/>
      <c r="GF1479" s="1"/>
      <c r="GG1479" s="1"/>
      <c r="GH1479" s="1"/>
      <c r="GI1479" s="1"/>
      <c r="GJ1479" s="1"/>
      <c r="GK1479" s="1"/>
      <c r="GL1479" s="1"/>
      <c r="GM1479" s="1"/>
      <c r="GN1479" s="1"/>
      <c r="GO1479" s="1"/>
      <c r="GP1479" s="1"/>
      <c r="GQ1479" s="1"/>
      <c r="GR1479" s="1"/>
      <c r="GS1479" s="1"/>
      <c r="GT1479" s="1"/>
      <c r="GU1479" s="1"/>
      <c r="GV1479" s="1"/>
      <c r="GW1479" s="1"/>
      <c r="GX1479" s="1"/>
      <c r="GY1479" s="1"/>
      <c r="GZ1479" s="1"/>
      <c r="HA1479" s="1"/>
      <c r="HB1479" s="1"/>
      <c r="HC1479" s="1"/>
      <c r="HD1479" s="1"/>
      <c r="HE1479" s="1"/>
      <c r="HF1479" s="1"/>
      <c r="HG1479" s="1"/>
      <c r="HH1479" s="1"/>
      <c r="HI1479" s="1"/>
      <c r="HJ1479" s="1"/>
      <c r="HK1479" s="1"/>
      <c r="HL1479" s="1"/>
      <c r="HM1479" s="1"/>
      <c r="HN1479" s="1"/>
      <c r="HO1479" s="1"/>
      <c r="HP1479" s="1"/>
      <c r="HQ1479" s="1"/>
      <c r="HR1479" s="1"/>
      <c r="HS1479" s="1"/>
      <c r="HT1479" s="1"/>
      <c r="HU1479" s="1"/>
      <c r="HV1479" s="1"/>
      <c r="HW1479" s="1"/>
      <c r="HX1479" s="1"/>
      <c r="HY1479" s="1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  <c r="IU1479" s="1"/>
      <c r="IV1479" s="1"/>
      <c r="IW1479" s="1"/>
      <c r="IX1479" s="1"/>
      <c r="IY1479" s="1"/>
      <c r="IZ1479" s="1"/>
      <c r="JA1479" s="1"/>
      <c r="JB1479" s="1"/>
      <c r="JC1479" s="1"/>
      <c r="JD1479" s="1"/>
      <c r="JE1479" s="1"/>
      <c r="JF1479" s="1"/>
      <c r="JG1479" s="1"/>
      <c r="JH1479" s="1"/>
      <c r="JI1479" s="1"/>
      <c r="JJ1479" s="1"/>
      <c r="JK1479" s="1"/>
      <c r="JL1479" s="1"/>
      <c r="JM1479" s="1"/>
      <c r="JN1479" s="1"/>
      <c r="JO1479" s="1"/>
      <c r="JP1479" s="1"/>
      <c r="JQ1479" s="1"/>
      <c r="JR1479" s="1"/>
      <c r="JS1479" s="1"/>
      <c r="JT1479" s="1"/>
      <c r="JU1479" s="1"/>
      <c r="JV1479" s="1"/>
      <c r="JW1479" s="1"/>
      <c r="JX1479" s="1"/>
      <c r="JY1479" s="1"/>
      <c r="JZ1479" s="1"/>
      <c r="KA1479" s="1"/>
      <c r="KB1479" s="1"/>
      <c r="KC1479" s="1"/>
      <c r="KD1479" s="1"/>
      <c r="KE1479" s="1"/>
      <c r="KF1479" s="1"/>
      <c r="KG1479" s="1"/>
      <c r="KH1479" s="1"/>
      <c r="KI1479" s="1"/>
      <c r="KJ1479" s="1"/>
      <c r="KK1479" s="1"/>
      <c r="KL1479" s="1"/>
      <c r="KM1479" s="1"/>
      <c r="KN1479" s="1"/>
      <c r="KO1479" s="1"/>
      <c r="KP1479" s="1"/>
      <c r="KQ1479" s="1"/>
      <c r="KR1479" s="1"/>
      <c r="KS1479" s="1"/>
      <c r="KT1479" s="1"/>
      <c r="KU1479" s="1"/>
      <c r="KV1479" s="1"/>
      <c r="KW1479" s="1"/>
      <c r="KX1479" s="1"/>
      <c r="KY1479" s="1"/>
      <c r="KZ1479" s="1"/>
      <c r="LA1479" s="1"/>
      <c r="LB1479" s="1"/>
      <c r="LC1479" s="1"/>
      <c r="LD1479" s="1"/>
      <c r="LE1479" s="1"/>
      <c r="LF1479" s="1"/>
      <c r="LG1479" s="1"/>
      <c r="LH1479" s="1"/>
      <c r="LI1479" s="1"/>
      <c r="LJ1479" s="1"/>
      <c r="LK1479" s="1"/>
      <c r="LL1479" s="1"/>
      <c r="LM1479" s="1"/>
      <c r="LN1479" s="1"/>
      <c r="LO1479" s="1"/>
      <c r="LP1479" s="1"/>
      <c r="LQ1479" s="1"/>
      <c r="LR1479" s="1"/>
      <c r="LS1479" s="1"/>
      <c r="LT1479" s="1"/>
      <c r="LU1479" s="1"/>
      <c r="LV1479" s="1"/>
      <c r="LW1479" s="1"/>
      <c r="LX1479" s="1"/>
      <c r="LY1479" s="1"/>
      <c r="LZ1479" s="1"/>
      <c r="MA1479" s="1"/>
      <c r="MB1479" s="1"/>
      <c r="MC1479" s="1"/>
      <c r="MD1479" s="1"/>
      <c r="ME1479" s="1"/>
      <c r="MF1479" s="1"/>
      <c r="MG1479" s="1"/>
      <c r="MH1479" s="1"/>
      <c r="MI1479" s="1"/>
      <c r="MJ1479" s="1"/>
      <c r="MK1479" s="1"/>
      <c r="ML1479" s="1"/>
      <c r="MM1479" s="1"/>
      <c r="MN1479" s="1"/>
      <c r="MO1479" s="1"/>
      <c r="MP1479" s="1"/>
      <c r="MQ1479" s="1"/>
      <c r="MR1479" s="1"/>
      <c r="MS1479" s="1"/>
      <c r="MT1479" s="1"/>
      <c r="MU1479" s="1"/>
      <c r="MV1479" s="1"/>
      <c r="MW1479" s="1"/>
      <c r="MX1479" s="1"/>
      <c r="MY1479" s="1"/>
      <c r="MZ1479" s="1"/>
      <c r="NA1479" s="1"/>
      <c r="NB1479" s="1"/>
      <c r="NC1479" s="1"/>
      <c r="ND1479" s="1"/>
      <c r="NE1479" s="1"/>
      <c r="NF1479" s="1"/>
      <c r="NG1479" s="1"/>
      <c r="NH1479" s="1"/>
      <c r="NI1479" s="1"/>
      <c r="NJ1479" s="1"/>
      <c r="NK1479" s="1"/>
      <c r="NL1479" s="1"/>
      <c r="NM1479" s="1"/>
      <c r="NN1479" s="1"/>
      <c r="NO1479" s="1"/>
      <c r="NP1479" s="1"/>
      <c r="NQ1479" s="1"/>
      <c r="NR1479" s="1"/>
      <c r="NS1479" s="1"/>
      <c r="NT1479" s="1"/>
      <c r="NU1479" s="1"/>
      <c r="NV1479" s="1"/>
      <c r="NW1479" s="1"/>
      <c r="NX1479" s="1"/>
      <c r="NY1479" s="1"/>
      <c r="NZ1479" s="1"/>
      <c r="OA1479" s="1"/>
      <c r="OB1479" s="1"/>
      <c r="OC1479" s="1"/>
      <c r="OD1479" s="1"/>
      <c r="OE1479" s="1"/>
      <c r="OF1479" s="1"/>
      <c r="OG1479" s="1"/>
      <c r="OH1479" s="1"/>
      <c r="OI1479" s="1"/>
      <c r="OJ1479" s="1"/>
      <c r="OK1479" s="1"/>
      <c r="OL1479" s="1"/>
      <c r="OM1479" s="1"/>
      <c r="ON1479" s="1"/>
      <c r="OO1479" s="1"/>
      <c r="OP1479" s="1"/>
      <c r="OQ1479" s="1"/>
      <c r="OR1479" s="1"/>
      <c r="OS1479" s="1"/>
      <c r="OT1479" s="1"/>
      <c r="OU1479" s="1"/>
      <c r="OV1479" s="1"/>
      <c r="OW1479" s="1"/>
      <c r="OX1479" s="1"/>
      <c r="OY1479" s="1"/>
      <c r="OZ1479" s="1"/>
      <c r="PA1479" s="1"/>
      <c r="PB1479" s="1"/>
      <c r="PC1479" s="1"/>
      <c r="PD1479" s="1"/>
      <c r="PE1479" s="1"/>
      <c r="PF1479" s="1"/>
      <c r="PG1479" s="1"/>
      <c r="PH1479" s="1"/>
      <c r="PI1479" s="1"/>
      <c r="PJ1479" s="1"/>
      <c r="PK1479" s="1"/>
      <c r="PL1479" s="1"/>
      <c r="PM1479" s="1"/>
      <c r="PN1479" s="1"/>
      <c r="PO1479" s="1"/>
      <c r="PP1479" s="1"/>
      <c r="PQ1479" s="1"/>
      <c r="PR1479" s="1"/>
      <c r="PS1479" s="1"/>
      <c r="PT1479" s="1"/>
      <c r="PU1479" s="1"/>
      <c r="PV1479" s="1"/>
      <c r="PW1479" s="1"/>
      <c r="PX1479" s="1"/>
      <c r="PY1479" s="1"/>
      <c r="PZ1479" s="1"/>
      <c r="QA1479" s="1"/>
      <c r="QB1479" s="1"/>
      <c r="QC1479" s="1"/>
      <c r="QD1479" s="1"/>
      <c r="QE1479" s="1"/>
      <c r="QF1479" s="1"/>
      <c r="QG1479" s="1"/>
      <c r="QH1479" s="1"/>
      <c r="QI1479" s="1"/>
      <c r="QJ1479" s="1"/>
      <c r="QK1479" s="1"/>
      <c r="QL1479" s="1"/>
      <c r="QM1479" s="1"/>
      <c r="QN1479" s="1"/>
      <c r="QO1479" s="1"/>
      <c r="QP1479" s="1"/>
      <c r="QQ1479" s="1"/>
      <c r="QR1479" s="1"/>
      <c r="QS1479" s="1"/>
      <c r="QT1479" s="1"/>
      <c r="QU1479" s="1"/>
      <c r="QV1479" s="1"/>
      <c r="QW1479" s="1"/>
      <c r="QX1479" s="1"/>
      <c r="QY1479" s="1"/>
      <c r="QZ1479" s="1"/>
      <c r="RA1479" s="1"/>
      <c r="RB1479" s="1"/>
      <c r="RC1479" s="1"/>
      <c r="RD1479" s="1"/>
      <c r="RE1479" s="1"/>
      <c r="RF1479" s="1"/>
      <c r="RG1479" s="1"/>
      <c r="RH1479" s="1"/>
      <c r="RI1479" s="1"/>
      <c r="RJ1479" s="1"/>
      <c r="RK1479" s="1"/>
      <c r="RL1479" s="1"/>
      <c r="RM1479" s="1"/>
      <c r="RN1479" s="1"/>
      <c r="RO1479" s="1"/>
      <c r="RP1479" s="1"/>
      <c r="RQ1479" s="1"/>
      <c r="RR1479" s="1"/>
      <c r="RS1479" s="1"/>
      <c r="RT1479" s="1"/>
      <c r="RU1479" s="1"/>
      <c r="RV1479" s="1"/>
      <c r="RW1479" s="1"/>
      <c r="RX1479" s="1"/>
      <c r="RY1479" s="1"/>
      <c r="RZ1479" s="1"/>
      <c r="SA1479" s="1"/>
      <c r="SB1479" s="1"/>
      <c r="SC1479" s="1"/>
      <c r="SD1479" s="1"/>
      <c r="SE1479" s="1"/>
      <c r="SF1479" s="1"/>
      <c r="SG1479" s="1"/>
      <c r="SH1479" s="1"/>
      <c r="SI1479" s="1"/>
      <c r="SJ1479" s="1"/>
      <c r="SK1479" s="1"/>
      <c r="SL1479" s="1"/>
      <c r="SM1479" s="1"/>
      <c r="SN1479" s="1"/>
      <c r="SO1479" s="1"/>
      <c r="SP1479" s="1"/>
      <c r="SQ1479" s="1"/>
      <c r="SR1479" s="1"/>
      <c r="SS1479" s="1"/>
      <c r="ST1479" s="1"/>
      <c r="SU1479" s="1"/>
      <c r="SV1479" s="1"/>
      <c r="SW1479" s="1"/>
      <c r="SX1479" s="1"/>
      <c r="SY1479" s="1"/>
      <c r="SZ1479" s="1"/>
      <c r="TA1479" s="1"/>
      <c r="TB1479" s="1"/>
      <c r="TC1479" s="1"/>
      <c r="TD1479" s="1"/>
      <c r="TE1479" s="1"/>
      <c r="TF1479" s="1"/>
      <c r="TG1479" s="1"/>
      <c r="TH1479" s="1"/>
      <c r="TI1479" s="1"/>
      <c r="TJ1479" s="1"/>
      <c r="TK1479" s="1"/>
      <c r="TL1479" s="1"/>
      <c r="TM1479" s="1"/>
      <c r="TN1479" s="1"/>
      <c r="TO1479" s="1"/>
      <c r="TP1479" s="1"/>
      <c r="TQ1479" s="1"/>
      <c r="TR1479" s="1"/>
      <c r="TS1479" s="1"/>
      <c r="TT1479" s="1"/>
      <c r="TU1479" s="1"/>
      <c r="TV1479" s="1"/>
      <c r="TW1479" s="1"/>
      <c r="TX1479" s="1"/>
      <c r="TY1479" s="1"/>
      <c r="TZ1479" s="1"/>
      <c r="UA1479" s="1"/>
      <c r="UB1479" s="1"/>
      <c r="UC1479" s="1"/>
      <c r="UD1479" s="1"/>
      <c r="UE1479" s="1"/>
      <c r="UF1479" s="1"/>
      <c r="UG1479" s="1"/>
      <c r="UH1479" s="1"/>
      <c r="UI1479" s="1"/>
      <c r="UJ1479" s="1"/>
      <c r="UK1479" s="1"/>
      <c r="UL1479" s="1"/>
      <c r="UM1479" s="1"/>
      <c r="UN1479" s="1"/>
      <c r="UO1479" s="1"/>
      <c r="UP1479" s="1"/>
      <c r="UQ1479" s="1"/>
      <c r="UR1479" s="1"/>
      <c r="US1479" s="1"/>
      <c r="UT1479" s="1"/>
      <c r="UU1479" s="1"/>
      <c r="UV1479" s="1"/>
      <c r="UW1479" s="1"/>
      <c r="UX1479" s="1"/>
      <c r="UY1479" s="1"/>
      <c r="UZ1479" s="1"/>
      <c r="VA1479" s="1"/>
      <c r="VB1479" s="1"/>
      <c r="VC1479" s="1"/>
      <c r="VD1479" s="1"/>
      <c r="VE1479" s="1"/>
      <c r="VF1479" s="1"/>
      <c r="VG1479" s="1"/>
      <c r="VH1479" s="1"/>
      <c r="VI1479" s="1"/>
      <c r="VJ1479" s="1"/>
      <c r="VK1479" s="1"/>
      <c r="VL1479" s="1"/>
      <c r="VM1479" s="1"/>
      <c r="VN1479" s="1"/>
      <c r="VO1479" s="1"/>
      <c r="VP1479" s="1"/>
      <c r="VQ1479" s="1"/>
      <c r="VR1479" s="1"/>
      <c r="VS1479" s="1"/>
      <c r="VT1479" s="1"/>
      <c r="VU1479" s="1"/>
      <c r="VV1479" s="1"/>
      <c r="VW1479" s="1"/>
      <c r="VX1479" s="1"/>
      <c r="VY1479" s="1"/>
      <c r="VZ1479" s="1"/>
      <c r="WA1479" s="1"/>
      <c r="WB1479" s="1"/>
      <c r="WC1479" s="1"/>
      <c r="WD1479" s="1"/>
      <c r="WE1479" s="1"/>
      <c r="WF1479" s="1"/>
      <c r="WG1479" s="1"/>
      <c r="WH1479" s="1"/>
      <c r="WI1479" s="1"/>
      <c r="WJ1479" s="1"/>
      <c r="WK1479" s="1"/>
      <c r="WL1479" s="1"/>
      <c r="WM1479" s="1"/>
      <c r="WN1479" s="1"/>
      <c r="WO1479" s="1"/>
      <c r="WP1479" s="1"/>
      <c r="WQ1479" s="1"/>
      <c r="WR1479" s="1"/>
      <c r="WS1479" s="1"/>
      <c r="WT1479" s="1"/>
      <c r="WU1479" s="1"/>
      <c r="WV1479" s="1"/>
      <c r="WW1479" s="1"/>
      <c r="WX1479" s="1"/>
      <c r="WY1479" s="1"/>
      <c r="WZ1479" s="1"/>
      <c r="XA1479" s="1"/>
      <c r="XB1479" s="1"/>
      <c r="XC1479" s="1"/>
      <c r="XD1479" s="1"/>
      <c r="XE1479" s="1"/>
      <c r="XF1479" s="1"/>
      <c r="XG1479" s="1"/>
      <c r="XH1479" s="1"/>
      <c r="XI1479" s="1"/>
      <c r="XJ1479" s="1"/>
      <c r="XK1479" s="1"/>
      <c r="XL1479" s="1"/>
      <c r="XM1479" s="1"/>
      <c r="XN1479" s="1"/>
      <c r="XO1479" s="1"/>
      <c r="XP1479" s="1"/>
      <c r="XQ1479" s="1"/>
      <c r="XR1479" s="1"/>
      <c r="XS1479" s="1"/>
      <c r="XT1479" s="1"/>
      <c r="XU1479" s="1"/>
      <c r="XV1479" s="1"/>
      <c r="XW1479" s="1"/>
      <c r="XX1479" s="1"/>
      <c r="XY1479" s="1"/>
      <c r="XZ1479" s="1"/>
      <c r="YA1479" s="1"/>
      <c r="YB1479" s="1"/>
      <c r="YC1479" s="1"/>
      <c r="YD1479" s="1"/>
      <c r="YE1479" s="1"/>
      <c r="YF1479" s="1"/>
      <c r="YG1479" s="1"/>
      <c r="YH1479" s="1"/>
      <c r="YI1479" s="1"/>
      <c r="YJ1479" s="1"/>
      <c r="YK1479" s="1"/>
      <c r="YL1479" s="1"/>
      <c r="YM1479" s="1"/>
      <c r="YN1479" s="1"/>
      <c r="YO1479" s="1"/>
      <c r="YP1479" s="1"/>
      <c r="YQ1479" s="1"/>
      <c r="YR1479" s="1"/>
      <c r="YS1479" s="1"/>
      <c r="YT1479" s="1"/>
      <c r="YU1479" s="1"/>
      <c r="YV1479" s="1"/>
      <c r="YW1479" s="1"/>
      <c r="YX1479" s="1"/>
      <c r="YY1479" s="1"/>
      <c r="YZ1479" s="1"/>
      <c r="ZA1479" s="1"/>
      <c r="ZB1479" s="1"/>
      <c r="ZC1479" s="1"/>
      <c r="ZD1479" s="1"/>
      <c r="ZE1479" s="1"/>
      <c r="ZF1479" s="1"/>
      <c r="ZG1479" s="1"/>
      <c r="ZH1479" s="1"/>
      <c r="ZI1479" s="1"/>
      <c r="ZJ1479" s="1"/>
      <c r="ZK1479" s="1"/>
      <c r="ZL1479" s="1"/>
      <c r="ZM1479" s="1"/>
      <c r="ZN1479" s="1"/>
      <c r="ZO1479" s="1"/>
      <c r="ZP1479" s="1"/>
      <c r="ZQ1479" s="1"/>
      <c r="ZR1479" s="1"/>
      <c r="ZS1479" s="1"/>
      <c r="ZT1479" s="1"/>
      <c r="ZU1479" s="1"/>
      <c r="ZV1479" s="1"/>
      <c r="ZW1479" s="1"/>
      <c r="ZX1479" s="1"/>
      <c r="ZY1479" s="1"/>
      <c r="ZZ1479" s="1"/>
      <c r="AAA1479" s="1"/>
      <c r="AAB1479" s="1"/>
      <c r="AAC1479" s="1"/>
      <c r="AAD1479" s="1"/>
      <c r="AAE1479" s="1"/>
      <c r="AAF1479" s="1"/>
      <c r="AAG1479" s="1"/>
      <c r="AAH1479" s="1"/>
      <c r="AAI1479" s="1"/>
      <c r="AAJ1479" s="1"/>
      <c r="AAK1479" s="1"/>
      <c r="AAL1479" s="1"/>
      <c r="AAM1479" s="1"/>
      <c r="AAN1479" s="1"/>
      <c r="AAO1479" s="1"/>
      <c r="AAP1479" s="1"/>
      <c r="AAQ1479" s="1"/>
      <c r="AAR1479" s="1"/>
      <c r="AAS1479" s="1"/>
      <c r="AAT1479" s="1"/>
      <c r="AAU1479" s="1"/>
      <c r="AAV1479" s="1"/>
      <c r="AAW1479" s="1"/>
      <c r="AAX1479" s="1"/>
      <c r="AAY1479" s="1"/>
      <c r="AAZ1479" s="1"/>
      <c r="ABA1479" s="1"/>
      <c r="ABB1479" s="1"/>
      <c r="ABC1479" s="1"/>
      <c r="ABD1479" s="1"/>
      <c r="ABE1479" s="1"/>
      <c r="ABF1479" s="1"/>
      <c r="ABG1479" s="1"/>
      <c r="ABH1479" s="1"/>
      <c r="ABI1479" s="1"/>
      <c r="ABJ1479" s="1"/>
      <c r="ABK1479" s="1"/>
      <c r="ABL1479" s="1"/>
      <c r="ABM1479" s="1"/>
      <c r="ABN1479" s="1"/>
      <c r="ABO1479" s="1"/>
      <c r="ABP1479" s="1"/>
      <c r="ABQ1479" s="1"/>
      <c r="ABR1479" s="1"/>
      <c r="ABS1479" s="1"/>
      <c r="ABT1479" s="1"/>
      <c r="ABU1479" s="1"/>
      <c r="ABV1479" s="1"/>
      <c r="ABW1479" s="1"/>
      <c r="ABX1479" s="1"/>
      <c r="ABY1479" s="1"/>
      <c r="ABZ1479" s="1"/>
      <c r="ACA1479" s="1"/>
      <c r="ACB1479" s="1"/>
      <c r="ACC1479" s="1"/>
      <c r="ACD1479" s="1"/>
      <c r="ACE1479" s="1"/>
      <c r="ACF1479" s="1"/>
      <c r="ACG1479" s="1"/>
      <c r="ACH1479" s="1"/>
      <c r="ACI1479" s="1"/>
      <c r="ACJ1479" s="1"/>
      <c r="ACK1479" s="1"/>
      <c r="ACL1479" s="1"/>
      <c r="ACM1479" s="1"/>
      <c r="ACN1479" s="1"/>
      <c r="ACO1479" s="1"/>
      <c r="ACP1479" s="1"/>
      <c r="ACQ1479" s="1"/>
      <c r="ACR1479" s="1"/>
      <c r="ACS1479" s="1"/>
      <c r="ACT1479" s="1"/>
      <c r="ACU1479" s="1"/>
      <c r="ACV1479" s="1"/>
      <c r="ACW1479" s="1"/>
      <c r="ACX1479" s="1"/>
      <c r="ACY1479" s="1"/>
      <c r="ACZ1479" s="1"/>
      <c r="ADA1479" s="1"/>
      <c r="ADB1479" s="1"/>
      <c r="ADC1479" s="1"/>
      <c r="ADD1479" s="1"/>
      <c r="ADE1479" s="1"/>
      <c r="ADF1479" s="1"/>
      <c r="ADG1479" s="1"/>
      <c r="ADH1479" s="1"/>
      <c r="ADI1479" s="1"/>
      <c r="ADJ1479" s="1"/>
      <c r="ADK1479" s="1"/>
      <c r="ADL1479" s="1"/>
      <c r="ADM1479" s="1"/>
      <c r="ADN1479" s="1"/>
      <c r="ADO1479" s="1"/>
      <c r="ADP1479" s="1"/>
      <c r="ADQ1479" s="1"/>
      <c r="ADR1479" s="1"/>
      <c r="ADS1479" s="1"/>
      <c r="ADT1479" s="1"/>
      <c r="ADU1479" s="1"/>
      <c r="ADV1479" s="1"/>
      <c r="ADW1479" s="1"/>
      <c r="ADX1479" s="1"/>
      <c r="ADY1479" s="1"/>
      <c r="ADZ1479" s="1"/>
      <c r="AEA1479" s="1"/>
      <c r="AEB1479" s="1"/>
      <c r="AEC1479" s="1"/>
      <c r="AED1479" s="1"/>
      <c r="AEE1479" s="1"/>
      <c r="AEF1479" s="1"/>
      <c r="AEG1479" s="1"/>
      <c r="AEH1479" s="1"/>
      <c r="AEI1479" s="1"/>
      <c r="AEJ1479" s="1"/>
      <c r="AEK1479" s="1"/>
      <c r="AEL1479" s="1"/>
      <c r="AEM1479" s="1"/>
      <c r="AEN1479" s="1"/>
      <c r="AEO1479" s="1"/>
      <c r="AEP1479" s="1"/>
      <c r="AEQ1479" s="1"/>
      <c r="AER1479" s="1"/>
      <c r="AES1479" s="1"/>
      <c r="AET1479" s="1"/>
      <c r="AEU1479" s="1"/>
      <c r="AEV1479" s="1"/>
      <c r="AEW1479" s="1"/>
      <c r="AEX1479" s="1"/>
      <c r="AEY1479" s="1"/>
      <c r="AEZ1479" s="1"/>
      <c r="AFA1479" s="1"/>
      <c r="AFB1479" s="1"/>
      <c r="AFC1479" s="1"/>
      <c r="AFD1479" s="1"/>
      <c r="AFE1479" s="1"/>
      <c r="AFF1479" s="1"/>
      <c r="AFG1479" s="1"/>
      <c r="AFH1479" s="1"/>
      <c r="AFI1479" s="1"/>
      <c r="AFJ1479" s="1"/>
      <c r="AFK1479" s="1"/>
      <c r="AFL1479" s="1"/>
      <c r="AFM1479" s="1"/>
      <c r="AFN1479" s="1"/>
      <c r="AFO1479" s="1"/>
      <c r="AFP1479" s="1"/>
      <c r="AFQ1479" s="1"/>
      <c r="AFR1479" s="1"/>
      <c r="AFS1479" s="1"/>
      <c r="AFT1479" s="1"/>
      <c r="AFU1479" s="1"/>
      <c r="AFV1479" s="1"/>
      <c r="AFW1479" s="1"/>
      <c r="AFX1479" s="1"/>
      <c r="AFY1479" s="1"/>
      <c r="AFZ1479" s="1"/>
      <c r="AGA1479" s="1"/>
      <c r="AGB1479" s="1"/>
      <c r="AGC1479" s="1"/>
      <c r="AGD1479" s="1"/>
      <c r="AGE1479" s="1"/>
      <c r="AGF1479" s="1"/>
      <c r="AGG1479" s="1"/>
      <c r="AGH1479" s="1"/>
      <c r="AGI1479" s="1"/>
      <c r="AGJ1479" s="1"/>
      <c r="AGK1479" s="1"/>
      <c r="AGL1479" s="1"/>
      <c r="AGM1479" s="1"/>
      <c r="AGN1479" s="1"/>
      <c r="AGO1479" s="1"/>
      <c r="AGP1479" s="1"/>
      <c r="AGQ1479" s="1"/>
      <c r="AGR1479" s="1"/>
      <c r="AGS1479" s="1"/>
      <c r="AGT1479" s="1"/>
      <c r="AGU1479" s="1"/>
      <c r="AGV1479" s="1"/>
      <c r="AGW1479" s="1"/>
      <c r="AGX1479" s="1"/>
      <c r="AGY1479" s="1"/>
      <c r="AGZ1479" s="1"/>
      <c r="AHA1479" s="1"/>
      <c r="AHB1479" s="1"/>
      <c r="AHC1479" s="1"/>
      <c r="AHD1479" s="1"/>
      <c r="AHE1479" s="1"/>
      <c r="AHF1479" s="1"/>
      <c r="AHG1479" s="1"/>
      <c r="AHH1479" s="1"/>
      <c r="AHI1479" s="1"/>
      <c r="AHJ1479" s="1"/>
      <c r="AHK1479" s="1"/>
      <c r="AHL1479" s="1"/>
      <c r="AHM1479" s="1"/>
      <c r="AHN1479" s="1"/>
      <c r="AHO1479" s="1"/>
      <c r="AHP1479" s="1"/>
      <c r="AHQ1479" s="1"/>
      <c r="AHR1479" s="1"/>
      <c r="AHS1479" s="1"/>
      <c r="AHT1479" s="1"/>
      <c r="AHU1479" s="1"/>
      <c r="AHV1479" s="1"/>
      <c r="AHW1479" s="1"/>
      <c r="AHX1479" s="1"/>
      <c r="AHY1479" s="1"/>
      <c r="AHZ1479" s="1"/>
      <c r="AIA1479" s="1"/>
      <c r="AIB1479" s="1"/>
      <c r="AIC1479" s="1"/>
      <c r="AID1479" s="1"/>
      <c r="AIE1479" s="1"/>
      <c r="AIF1479" s="1"/>
      <c r="AIG1479" s="1"/>
      <c r="AIH1479" s="1"/>
      <c r="AII1479" s="1"/>
      <c r="AIJ1479" s="1"/>
      <c r="AIK1479" s="1"/>
      <c r="AIL1479" s="1"/>
      <c r="AIM1479" s="1"/>
      <c r="AIN1479" s="1"/>
      <c r="AIO1479" s="1"/>
      <c r="AIP1479" s="1"/>
      <c r="AIQ1479" s="1"/>
      <c r="AIR1479" s="1"/>
      <c r="AIS1479" s="1"/>
      <c r="AIT1479" s="1"/>
      <c r="AIU1479" s="1"/>
      <c r="AIV1479" s="1"/>
      <c r="AIW1479" s="1"/>
      <c r="AIX1479" s="1"/>
      <c r="AIY1479" s="1"/>
      <c r="AIZ1479" s="1"/>
      <c r="AJA1479" s="1"/>
      <c r="AJB1479" s="1"/>
      <c r="AJC1479" s="1"/>
      <c r="AJD1479" s="1"/>
      <c r="AJE1479" s="1"/>
      <c r="AJF1479" s="1"/>
      <c r="AJG1479" s="1"/>
      <c r="AJH1479" s="1"/>
      <c r="AJI1479" s="1"/>
      <c r="AJJ1479" s="1"/>
      <c r="AJK1479" s="1"/>
      <c r="AJL1479" s="1"/>
      <c r="AJM1479" s="1"/>
      <c r="AJN1479" s="1"/>
      <c r="AJO1479" s="1"/>
      <c r="AJP1479" s="1"/>
      <c r="AJQ1479" s="1"/>
      <c r="AJR1479" s="1"/>
      <c r="AJS1479" s="1"/>
      <c r="AJT1479" s="1"/>
      <c r="AJU1479" s="1"/>
      <c r="AJV1479" s="1"/>
      <c r="AJW1479" s="1"/>
      <c r="AJX1479" s="1"/>
      <c r="AJY1479" s="1"/>
      <c r="AJZ1479" s="1"/>
      <c r="AKA1479" s="1"/>
      <c r="AKB1479" s="1"/>
      <c r="AKC1479" s="1"/>
      <c r="AKD1479" s="1"/>
      <c r="AKE1479" s="1"/>
      <c r="AKF1479" s="1"/>
      <c r="AKG1479" s="1"/>
      <c r="AKH1479" s="1"/>
      <c r="AKI1479" s="1"/>
      <c r="AKJ1479" s="1"/>
      <c r="AKK1479" s="1"/>
      <c r="AKL1479" s="1"/>
      <c r="AKM1479" s="1"/>
      <c r="AKN1479" s="1"/>
      <c r="AKO1479" s="1"/>
      <c r="AKP1479" s="1"/>
      <c r="AKQ1479" s="1"/>
      <c r="AKR1479" s="1"/>
      <c r="AKS1479" s="1"/>
      <c r="AKT1479" s="1"/>
      <c r="AKU1479" s="1"/>
      <c r="AKV1479" s="1"/>
      <c r="AKW1479" s="1"/>
      <c r="AKX1479" s="1"/>
      <c r="AKY1479" s="1"/>
      <c r="AKZ1479" s="1"/>
      <c r="ALA1479" s="1"/>
      <c r="ALB1479" s="1"/>
      <c r="ALC1479" s="1"/>
      <c r="ALD1479" s="1"/>
      <c r="ALE1479" s="1"/>
      <c r="ALF1479" s="1"/>
      <c r="ALG1479" s="1"/>
      <c r="ALH1479" s="1"/>
      <c r="ALI1479" s="1"/>
      <c r="ALJ1479" s="1"/>
      <c r="ALK1479" s="1"/>
      <c r="ALL1479" s="1"/>
      <c r="ALM1479" s="1"/>
      <c r="ALN1479" s="1"/>
      <c r="ALO1479" s="1"/>
      <c r="ALP1479" s="1"/>
      <c r="ALQ1479" s="1"/>
      <c r="ALR1479" s="1"/>
      <c r="ALS1479" s="1"/>
      <c r="ALT1479" s="1"/>
      <c r="ALU1479" s="1"/>
      <c r="ALV1479" s="1"/>
      <c r="ALW1479" s="1"/>
      <c r="ALX1479" s="1"/>
      <c r="ALY1479" s="1"/>
      <c r="ALZ1479" s="1"/>
      <c r="AMA1479" s="1"/>
      <c r="AMB1479" s="1"/>
      <c r="AMC1479" s="1"/>
      <c r="AMD1479" s="1"/>
      <c r="AME1479" s="1"/>
      <c r="AMF1479" s="1"/>
      <c r="AMG1479" s="1"/>
      <c r="AMH1479" s="1"/>
      <c r="AMI1479" s="1"/>
      <c r="AMJ1479" s="1"/>
      <c r="AMK1479" s="1"/>
    </row>
    <row r="1480" spans="1:1025" s="2" customFormat="1" ht="30" x14ac:dyDescent="0.25">
      <c r="A1480" s="201"/>
      <c r="B1480" s="202"/>
      <c r="C1480" s="202"/>
      <c r="D1480" s="202"/>
      <c r="E1480" s="202"/>
      <c r="F1480" s="202"/>
      <c r="G1480" s="202"/>
      <c r="H1480" s="202"/>
      <c r="I1480" s="203"/>
      <c r="J1480" s="157" t="s">
        <v>7</v>
      </c>
      <c r="K1480" s="160">
        <f>K1409</f>
        <v>1</v>
      </c>
      <c r="L1480" s="924" t="s">
        <v>8</v>
      </c>
      <c r="M1480" s="158">
        <f>M1409+M1417+M1418+M1419+M1421+M1410</f>
        <v>806.27354000000003</v>
      </c>
      <c r="N1480" s="192"/>
      <c r="O1480" s="924"/>
      <c r="P1480" s="157" t="s">
        <v>7</v>
      </c>
      <c r="Q1480" s="924"/>
      <c r="R1480" s="924" t="s">
        <v>8</v>
      </c>
      <c r="S1480" s="924"/>
      <c r="T1480" s="192"/>
      <c r="U1480" s="924"/>
      <c r="V1480" s="157" t="s">
        <v>7</v>
      </c>
      <c r="W1480" s="924"/>
      <c r="X1480" s="924" t="s">
        <v>8</v>
      </c>
      <c r="Y1480" s="924"/>
      <c r="Z1480" s="192"/>
      <c r="AA1480" s="924"/>
      <c r="AB1480" s="157" t="s">
        <v>7</v>
      </c>
      <c r="AC1480" s="924"/>
      <c r="AD1480" s="924" t="s">
        <v>8</v>
      </c>
      <c r="AE1480" s="924"/>
      <c r="AF1480" s="192"/>
      <c r="AG1480" s="924"/>
      <c r="AH1480" s="157" t="s">
        <v>7</v>
      </c>
      <c r="AI1480" s="924"/>
      <c r="AJ1480" s="924" t="s">
        <v>8</v>
      </c>
      <c r="AK1480" s="924"/>
      <c r="AL1480" s="192"/>
      <c r="AM1480" s="924"/>
      <c r="AN1480" s="157" t="s">
        <v>7</v>
      </c>
      <c r="AO1480" s="924"/>
      <c r="AP1480" s="924" t="s">
        <v>8</v>
      </c>
      <c r="AQ1480" s="924"/>
      <c r="AR1480" s="55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  <c r="EA1480" s="1"/>
      <c r="EB1480" s="1"/>
      <c r="EC1480" s="1"/>
      <c r="ED1480" s="1"/>
      <c r="EE1480" s="1"/>
      <c r="EF1480" s="1"/>
      <c r="EG1480" s="1"/>
      <c r="EH1480" s="1"/>
      <c r="EI1480" s="1"/>
      <c r="EJ1480" s="1"/>
      <c r="EK1480" s="1"/>
      <c r="EL1480" s="1"/>
      <c r="EM1480" s="1"/>
      <c r="EN1480" s="1"/>
      <c r="EO1480" s="1"/>
      <c r="EP1480" s="1"/>
      <c r="EQ1480" s="1"/>
      <c r="ER1480" s="1"/>
      <c r="ES1480" s="1"/>
      <c r="ET1480" s="1"/>
      <c r="EU1480" s="1"/>
      <c r="EV1480" s="1"/>
      <c r="EW1480" s="1"/>
      <c r="EX1480" s="1"/>
      <c r="EY1480" s="1"/>
      <c r="EZ1480" s="1"/>
      <c r="FA1480" s="1"/>
      <c r="FB1480" s="1"/>
      <c r="FC1480" s="1"/>
      <c r="FD1480" s="1"/>
      <c r="FE1480" s="1"/>
      <c r="FF1480" s="1"/>
      <c r="FG1480" s="1"/>
      <c r="FH1480" s="1"/>
      <c r="FI1480" s="1"/>
      <c r="FJ1480" s="1"/>
      <c r="FK1480" s="1"/>
      <c r="FL1480" s="1"/>
      <c r="FM1480" s="1"/>
      <c r="FN1480" s="1"/>
      <c r="FO1480" s="1"/>
      <c r="FP1480" s="1"/>
      <c r="FQ1480" s="1"/>
      <c r="FR1480" s="1"/>
      <c r="FS1480" s="1"/>
      <c r="FT1480" s="1"/>
      <c r="FU1480" s="1"/>
      <c r="FV1480" s="1"/>
      <c r="FW1480" s="1"/>
      <c r="FX1480" s="1"/>
      <c r="FY1480" s="1"/>
      <c r="FZ1480" s="1"/>
      <c r="GA1480" s="1"/>
      <c r="GB1480" s="1"/>
      <c r="GC1480" s="1"/>
      <c r="GD1480" s="1"/>
      <c r="GE1480" s="1"/>
      <c r="GF1480" s="1"/>
      <c r="GG1480" s="1"/>
      <c r="GH1480" s="1"/>
      <c r="GI1480" s="1"/>
      <c r="GJ1480" s="1"/>
      <c r="GK1480" s="1"/>
      <c r="GL1480" s="1"/>
      <c r="GM1480" s="1"/>
      <c r="GN1480" s="1"/>
      <c r="GO1480" s="1"/>
      <c r="GP1480" s="1"/>
      <c r="GQ1480" s="1"/>
      <c r="GR1480" s="1"/>
      <c r="GS1480" s="1"/>
      <c r="GT1480" s="1"/>
      <c r="GU1480" s="1"/>
      <c r="GV1480" s="1"/>
      <c r="GW1480" s="1"/>
      <c r="GX1480" s="1"/>
      <c r="GY1480" s="1"/>
      <c r="GZ1480" s="1"/>
      <c r="HA1480" s="1"/>
      <c r="HB1480" s="1"/>
      <c r="HC1480" s="1"/>
      <c r="HD1480" s="1"/>
      <c r="HE1480" s="1"/>
      <c r="HF1480" s="1"/>
      <c r="HG1480" s="1"/>
      <c r="HH1480" s="1"/>
      <c r="HI1480" s="1"/>
      <c r="HJ1480" s="1"/>
      <c r="HK1480" s="1"/>
      <c r="HL1480" s="1"/>
      <c r="HM1480" s="1"/>
      <c r="HN1480" s="1"/>
      <c r="HO1480" s="1"/>
      <c r="HP1480" s="1"/>
      <c r="HQ1480" s="1"/>
      <c r="HR1480" s="1"/>
      <c r="HS1480" s="1"/>
      <c r="HT1480" s="1"/>
      <c r="HU1480" s="1"/>
      <c r="HV1480" s="1"/>
      <c r="HW1480" s="1"/>
      <c r="HX1480" s="1"/>
      <c r="HY1480" s="1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  <c r="IU1480" s="1"/>
      <c r="IV1480" s="1"/>
      <c r="IW1480" s="1"/>
      <c r="IX1480" s="1"/>
      <c r="IY1480" s="1"/>
      <c r="IZ1480" s="1"/>
      <c r="JA1480" s="1"/>
      <c r="JB1480" s="1"/>
      <c r="JC1480" s="1"/>
      <c r="JD1480" s="1"/>
      <c r="JE1480" s="1"/>
      <c r="JF1480" s="1"/>
      <c r="JG1480" s="1"/>
      <c r="JH1480" s="1"/>
      <c r="JI1480" s="1"/>
      <c r="JJ1480" s="1"/>
      <c r="JK1480" s="1"/>
      <c r="JL1480" s="1"/>
      <c r="JM1480" s="1"/>
      <c r="JN1480" s="1"/>
      <c r="JO1480" s="1"/>
      <c r="JP1480" s="1"/>
      <c r="JQ1480" s="1"/>
      <c r="JR1480" s="1"/>
      <c r="JS1480" s="1"/>
      <c r="JT1480" s="1"/>
      <c r="JU1480" s="1"/>
      <c r="JV1480" s="1"/>
      <c r="JW1480" s="1"/>
      <c r="JX1480" s="1"/>
      <c r="JY1480" s="1"/>
      <c r="JZ1480" s="1"/>
      <c r="KA1480" s="1"/>
      <c r="KB1480" s="1"/>
      <c r="KC1480" s="1"/>
      <c r="KD1480" s="1"/>
      <c r="KE1480" s="1"/>
      <c r="KF1480" s="1"/>
      <c r="KG1480" s="1"/>
      <c r="KH1480" s="1"/>
      <c r="KI1480" s="1"/>
      <c r="KJ1480" s="1"/>
      <c r="KK1480" s="1"/>
      <c r="KL1480" s="1"/>
      <c r="KM1480" s="1"/>
      <c r="KN1480" s="1"/>
      <c r="KO1480" s="1"/>
      <c r="KP1480" s="1"/>
      <c r="KQ1480" s="1"/>
      <c r="KR1480" s="1"/>
      <c r="KS1480" s="1"/>
      <c r="KT1480" s="1"/>
      <c r="KU1480" s="1"/>
      <c r="KV1480" s="1"/>
      <c r="KW1480" s="1"/>
      <c r="KX1480" s="1"/>
      <c r="KY1480" s="1"/>
      <c r="KZ1480" s="1"/>
      <c r="LA1480" s="1"/>
      <c r="LB1480" s="1"/>
      <c r="LC1480" s="1"/>
      <c r="LD1480" s="1"/>
      <c r="LE1480" s="1"/>
      <c r="LF1480" s="1"/>
      <c r="LG1480" s="1"/>
      <c r="LH1480" s="1"/>
      <c r="LI1480" s="1"/>
      <c r="LJ1480" s="1"/>
      <c r="LK1480" s="1"/>
      <c r="LL1480" s="1"/>
      <c r="LM1480" s="1"/>
      <c r="LN1480" s="1"/>
      <c r="LO1480" s="1"/>
      <c r="LP1480" s="1"/>
      <c r="LQ1480" s="1"/>
      <c r="LR1480" s="1"/>
      <c r="LS1480" s="1"/>
      <c r="LT1480" s="1"/>
      <c r="LU1480" s="1"/>
      <c r="LV1480" s="1"/>
      <c r="LW1480" s="1"/>
      <c r="LX1480" s="1"/>
      <c r="LY1480" s="1"/>
      <c r="LZ1480" s="1"/>
      <c r="MA1480" s="1"/>
      <c r="MB1480" s="1"/>
      <c r="MC1480" s="1"/>
      <c r="MD1480" s="1"/>
      <c r="ME1480" s="1"/>
      <c r="MF1480" s="1"/>
      <c r="MG1480" s="1"/>
      <c r="MH1480" s="1"/>
      <c r="MI1480" s="1"/>
      <c r="MJ1480" s="1"/>
      <c r="MK1480" s="1"/>
      <c r="ML1480" s="1"/>
      <c r="MM1480" s="1"/>
      <c r="MN1480" s="1"/>
      <c r="MO1480" s="1"/>
      <c r="MP1480" s="1"/>
      <c r="MQ1480" s="1"/>
      <c r="MR1480" s="1"/>
      <c r="MS1480" s="1"/>
      <c r="MT1480" s="1"/>
      <c r="MU1480" s="1"/>
      <c r="MV1480" s="1"/>
      <c r="MW1480" s="1"/>
      <c r="MX1480" s="1"/>
      <c r="MY1480" s="1"/>
      <c r="MZ1480" s="1"/>
      <c r="NA1480" s="1"/>
      <c r="NB1480" s="1"/>
      <c r="NC1480" s="1"/>
      <c r="ND1480" s="1"/>
      <c r="NE1480" s="1"/>
      <c r="NF1480" s="1"/>
      <c r="NG1480" s="1"/>
      <c r="NH1480" s="1"/>
      <c r="NI1480" s="1"/>
      <c r="NJ1480" s="1"/>
      <c r="NK1480" s="1"/>
      <c r="NL1480" s="1"/>
      <c r="NM1480" s="1"/>
      <c r="NN1480" s="1"/>
      <c r="NO1480" s="1"/>
      <c r="NP1480" s="1"/>
      <c r="NQ1480" s="1"/>
      <c r="NR1480" s="1"/>
      <c r="NS1480" s="1"/>
      <c r="NT1480" s="1"/>
      <c r="NU1480" s="1"/>
      <c r="NV1480" s="1"/>
      <c r="NW1480" s="1"/>
      <c r="NX1480" s="1"/>
      <c r="NY1480" s="1"/>
      <c r="NZ1480" s="1"/>
      <c r="OA1480" s="1"/>
      <c r="OB1480" s="1"/>
      <c r="OC1480" s="1"/>
      <c r="OD1480" s="1"/>
      <c r="OE1480" s="1"/>
      <c r="OF1480" s="1"/>
      <c r="OG1480" s="1"/>
      <c r="OH1480" s="1"/>
      <c r="OI1480" s="1"/>
      <c r="OJ1480" s="1"/>
      <c r="OK1480" s="1"/>
      <c r="OL1480" s="1"/>
      <c r="OM1480" s="1"/>
      <c r="ON1480" s="1"/>
      <c r="OO1480" s="1"/>
      <c r="OP1480" s="1"/>
      <c r="OQ1480" s="1"/>
      <c r="OR1480" s="1"/>
      <c r="OS1480" s="1"/>
      <c r="OT1480" s="1"/>
      <c r="OU1480" s="1"/>
      <c r="OV1480" s="1"/>
      <c r="OW1480" s="1"/>
      <c r="OX1480" s="1"/>
      <c r="OY1480" s="1"/>
      <c r="OZ1480" s="1"/>
      <c r="PA1480" s="1"/>
      <c r="PB1480" s="1"/>
      <c r="PC1480" s="1"/>
      <c r="PD1480" s="1"/>
      <c r="PE1480" s="1"/>
      <c r="PF1480" s="1"/>
      <c r="PG1480" s="1"/>
      <c r="PH1480" s="1"/>
      <c r="PI1480" s="1"/>
      <c r="PJ1480" s="1"/>
      <c r="PK1480" s="1"/>
      <c r="PL1480" s="1"/>
      <c r="PM1480" s="1"/>
      <c r="PN1480" s="1"/>
      <c r="PO1480" s="1"/>
      <c r="PP1480" s="1"/>
      <c r="PQ1480" s="1"/>
      <c r="PR1480" s="1"/>
      <c r="PS1480" s="1"/>
      <c r="PT1480" s="1"/>
      <c r="PU1480" s="1"/>
      <c r="PV1480" s="1"/>
      <c r="PW1480" s="1"/>
      <c r="PX1480" s="1"/>
      <c r="PY1480" s="1"/>
      <c r="PZ1480" s="1"/>
      <c r="QA1480" s="1"/>
      <c r="QB1480" s="1"/>
      <c r="QC1480" s="1"/>
      <c r="QD1480" s="1"/>
      <c r="QE1480" s="1"/>
      <c r="QF1480" s="1"/>
      <c r="QG1480" s="1"/>
      <c r="QH1480" s="1"/>
      <c r="QI1480" s="1"/>
      <c r="QJ1480" s="1"/>
      <c r="QK1480" s="1"/>
      <c r="QL1480" s="1"/>
      <c r="QM1480" s="1"/>
      <c r="QN1480" s="1"/>
      <c r="QO1480" s="1"/>
      <c r="QP1480" s="1"/>
      <c r="QQ1480" s="1"/>
      <c r="QR1480" s="1"/>
      <c r="QS1480" s="1"/>
      <c r="QT1480" s="1"/>
      <c r="QU1480" s="1"/>
      <c r="QV1480" s="1"/>
      <c r="QW1480" s="1"/>
      <c r="QX1480" s="1"/>
      <c r="QY1480" s="1"/>
      <c r="QZ1480" s="1"/>
      <c r="RA1480" s="1"/>
      <c r="RB1480" s="1"/>
      <c r="RC1480" s="1"/>
      <c r="RD1480" s="1"/>
      <c r="RE1480" s="1"/>
      <c r="RF1480" s="1"/>
      <c r="RG1480" s="1"/>
      <c r="RH1480" s="1"/>
      <c r="RI1480" s="1"/>
      <c r="RJ1480" s="1"/>
      <c r="RK1480" s="1"/>
      <c r="RL1480" s="1"/>
      <c r="RM1480" s="1"/>
      <c r="RN1480" s="1"/>
      <c r="RO1480" s="1"/>
      <c r="RP1480" s="1"/>
      <c r="RQ1480" s="1"/>
      <c r="RR1480" s="1"/>
      <c r="RS1480" s="1"/>
      <c r="RT1480" s="1"/>
      <c r="RU1480" s="1"/>
      <c r="RV1480" s="1"/>
      <c r="RW1480" s="1"/>
      <c r="RX1480" s="1"/>
      <c r="RY1480" s="1"/>
      <c r="RZ1480" s="1"/>
      <c r="SA1480" s="1"/>
      <c r="SB1480" s="1"/>
      <c r="SC1480" s="1"/>
      <c r="SD1480" s="1"/>
      <c r="SE1480" s="1"/>
      <c r="SF1480" s="1"/>
      <c r="SG1480" s="1"/>
      <c r="SH1480" s="1"/>
      <c r="SI1480" s="1"/>
      <c r="SJ1480" s="1"/>
      <c r="SK1480" s="1"/>
      <c r="SL1480" s="1"/>
      <c r="SM1480" s="1"/>
      <c r="SN1480" s="1"/>
      <c r="SO1480" s="1"/>
      <c r="SP1480" s="1"/>
      <c r="SQ1480" s="1"/>
      <c r="SR1480" s="1"/>
      <c r="SS1480" s="1"/>
      <c r="ST1480" s="1"/>
      <c r="SU1480" s="1"/>
      <c r="SV1480" s="1"/>
      <c r="SW1480" s="1"/>
      <c r="SX1480" s="1"/>
      <c r="SY1480" s="1"/>
      <c r="SZ1480" s="1"/>
      <c r="TA1480" s="1"/>
      <c r="TB1480" s="1"/>
      <c r="TC1480" s="1"/>
      <c r="TD1480" s="1"/>
      <c r="TE1480" s="1"/>
      <c r="TF1480" s="1"/>
      <c r="TG1480" s="1"/>
      <c r="TH1480" s="1"/>
      <c r="TI1480" s="1"/>
      <c r="TJ1480" s="1"/>
      <c r="TK1480" s="1"/>
      <c r="TL1480" s="1"/>
      <c r="TM1480" s="1"/>
      <c r="TN1480" s="1"/>
      <c r="TO1480" s="1"/>
      <c r="TP1480" s="1"/>
      <c r="TQ1480" s="1"/>
      <c r="TR1480" s="1"/>
      <c r="TS1480" s="1"/>
      <c r="TT1480" s="1"/>
      <c r="TU1480" s="1"/>
      <c r="TV1480" s="1"/>
      <c r="TW1480" s="1"/>
      <c r="TX1480" s="1"/>
      <c r="TY1480" s="1"/>
      <c r="TZ1480" s="1"/>
      <c r="UA1480" s="1"/>
      <c r="UB1480" s="1"/>
      <c r="UC1480" s="1"/>
      <c r="UD1480" s="1"/>
      <c r="UE1480" s="1"/>
      <c r="UF1480" s="1"/>
      <c r="UG1480" s="1"/>
      <c r="UH1480" s="1"/>
      <c r="UI1480" s="1"/>
      <c r="UJ1480" s="1"/>
      <c r="UK1480" s="1"/>
      <c r="UL1480" s="1"/>
      <c r="UM1480" s="1"/>
      <c r="UN1480" s="1"/>
      <c r="UO1480" s="1"/>
      <c r="UP1480" s="1"/>
      <c r="UQ1480" s="1"/>
      <c r="UR1480" s="1"/>
      <c r="US1480" s="1"/>
      <c r="UT1480" s="1"/>
      <c r="UU1480" s="1"/>
      <c r="UV1480" s="1"/>
      <c r="UW1480" s="1"/>
      <c r="UX1480" s="1"/>
      <c r="UY1480" s="1"/>
      <c r="UZ1480" s="1"/>
      <c r="VA1480" s="1"/>
      <c r="VB1480" s="1"/>
      <c r="VC1480" s="1"/>
      <c r="VD1480" s="1"/>
      <c r="VE1480" s="1"/>
      <c r="VF1480" s="1"/>
      <c r="VG1480" s="1"/>
      <c r="VH1480" s="1"/>
      <c r="VI1480" s="1"/>
      <c r="VJ1480" s="1"/>
      <c r="VK1480" s="1"/>
      <c r="VL1480" s="1"/>
      <c r="VM1480" s="1"/>
      <c r="VN1480" s="1"/>
      <c r="VO1480" s="1"/>
      <c r="VP1480" s="1"/>
      <c r="VQ1480" s="1"/>
      <c r="VR1480" s="1"/>
      <c r="VS1480" s="1"/>
      <c r="VT1480" s="1"/>
      <c r="VU1480" s="1"/>
      <c r="VV1480" s="1"/>
      <c r="VW1480" s="1"/>
      <c r="VX1480" s="1"/>
      <c r="VY1480" s="1"/>
      <c r="VZ1480" s="1"/>
      <c r="WA1480" s="1"/>
      <c r="WB1480" s="1"/>
      <c r="WC1480" s="1"/>
      <c r="WD1480" s="1"/>
      <c r="WE1480" s="1"/>
      <c r="WF1480" s="1"/>
      <c r="WG1480" s="1"/>
      <c r="WH1480" s="1"/>
      <c r="WI1480" s="1"/>
      <c r="WJ1480" s="1"/>
      <c r="WK1480" s="1"/>
      <c r="WL1480" s="1"/>
      <c r="WM1480" s="1"/>
      <c r="WN1480" s="1"/>
      <c r="WO1480" s="1"/>
      <c r="WP1480" s="1"/>
      <c r="WQ1480" s="1"/>
      <c r="WR1480" s="1"/>
      <c r="WS1480" s="1"/>
      <c r="WT1480" s="1"/>
      <c r="WU1480" s="1"/>
      <c r="WV1480" s="1"/>
      <c r="WW1480" s="1"/>
      <c r="WX1480" s="1"/>
      <c r="WY1480" s="1"/>
      <c r="WZ1480" s="1"/>
      <c r="XA1480" s="1"/>
      <c r="XB1480" s="1"/>
      <c r="XC1480" s="1"/>
      <c r="XD1480" s="1"/>
      <c r="XE1480" s="1"/>
      <c r="XF1480" s="1"/>
      <c r="XG1480" s="1"/>
      <c r="XH1480" s="1"/>
      <c r="XI1480" s="1"/>
      <c r="XJ1480" s="1"/>
      <c r="XK1480" s="1"/>
      <c r="XL1480" s="1"/>
      <c r="XM1480" s="1"/>
      <c r="XN1480" s="1"/>
      <c r="XO1480" s="1"/>
      <c r="XP1480" s="1"/>
      <c r="XQ1480" s="1"/>
      <c r="XR1480" s="1"/>
      <c r="XS1480" s="1"/>
      <c r="XT1480" s="1"/>
      <c r="XU1480" s="1"/>
      <c r="XV1480" s="1"/>
      <c r="XW1480" s="1"/>
      <c r="XX1480" s="1"/>
      <c r="XY1480" s="1"/>
      <c r="XZ1480" s="1"/>
      <c r="YA1480" s="1"/>
      <c r="YB1480" s="1"/>
      <c r="YC1480" s="1"/>
      <c r="YD1480" s="1"/>
      <c r="YE1480" s="1"/>
      <c r="YF1480" s="1"/>
      <c r="YG1480" s="1"/>
      <c r="YH1480" s="1"/>
      <c r="YI1480" s="1"/>
      <c r="YJ1480" s="1"/>
      <c r="YK1480" s="1"/>
      <c r="YL1480" s="1"/>
      <c r="YM1480" s="1"/>
      <c r="YN1480" s="1"/>
      <c r="YO1480" s="1"/>
      <c r="YP1480" s="1"/>
      <c r="YQ1480" s="1"/>
      <c r="YR1480" s="1"/>
      <c r="YS1480" s="1"/>
      <c r="YT1480" s="1"/>
      <c r="YU1480" s="1"/>
      <c r="YV1480" s="1"/>
      <c r="YW1480" s="1"/>
      <c r="YX1480" s="1"/>
      <c r="YY1480" s="1"/>
      <c r="YZ1480" s="1"/>
      <c r="ZA1480" s="1"/>
      <c r="ZB1480" s="1"/>
      <c r="ZC1480" s="1"/>
      <c r="ZD1480" s="1"/>
      <c r="ZE1480" s="1"/>
      <c r="ZF1480" s="1"/>
      <c r="ZG1480" s="1"/>
      <c r="ZH1480" s="1"/>
      <c r="ZI1480" s="1"/>
      <c r="ZJ1480" s="1"/>
      <c r="ZK1480" s="1"/>
      <c r="ZL1480" s="1"/>
      <c r="ZM1480" s="1"/>
      <c r="ZN1480" s="1"/>
      <c r="ZO1480" s="1"/>
      <c r="ZP1480" s="1"/>
      <c r="ZQ1480" s="1"/>
      <c r="ZR1480" s="1"/>
      <c r="ZS1480" s="1"/>
      <c r="ZT1480" s="1"/>
      <c r="ZU1480" s="1"/>
      <c r="ZV1480" s="1"/>
      <c r="ZW1480" s="1"/>
      <c r="ZX1480" s="1"/>
      <c r="ZY1480" s="1"/>
      <c r="ZZ1480" s="1"/>
      <c r="AAA1480" s="1"/>
      <c r="AAB1480" s="1"/>
      <c r="AAC1480" s="1"/>
      <c r="AAD1480" s="1"/>
      <c r="AAE1480" s="1"/>
      <c r="AAF1480" s="1"/>
      <c r="AAG1480" s="1"/>
      <c r="AAH1480" s="1"/>
      <c r="AAI1480" s="1"/>
      <c r="AAJ1480" s="1"/>
      <c r="AAK1480" s="1"/>
      <c r="AAL1480" s="1"/>
      <c r="AAM1480" s="1"/>
      <c r="AAN1480" s="1"/>
      <c r="AAO1480" s="1"/>
      <c r="AAP1480" s="1"/>
      <c r="AAQ1480" s="1"/>
      <c r="AAR1480" s="1"/>
      <c r="AAS1480" s="1"/>
      <c r="AAT1480" s="1"/>
      <c r="AAU1480" s="1"/>
      <c r="AAV1480" s="1"/>
      <c r="AAW1480" s="1"/>
      <c r="AAX1480" s="1"/>
      <c r="AAY1480" s="1"/>
      <c r="AAZ1480" s="1"/>
      <c r="ABA1480" s="1"/>
      <c r="ABB1480" s="1"/>
      <c r="ABC1480" s="1"/>
      <c r="ABD1480" s="1"/>
      <c r="ABE1480" s="1"/>
      <c r="ABF1480" s="1"/>
      <c r="ABG1480" s="1"/>
      <c r="ABH1480" s="1"/>
      <c r="ABI1480" s="1"/>
      <c r="ABJ1480" s="1"/>
      <c r="ABK1480" s="1"/>
      <c r="ABL1480" s="1"/>
      <c r="ABM1480" s="1"/>
      <c r="ABN1480" s="1"/>
      <c r="ABO1480" s="1"/>
      <c r="ABP1480" s="1"/>
      <c r="ABQ1480" s="1"/>
      <c r="ABR1480" s="1"/>
      <c r="ABS1480" s="1"/>
      <c r="ABT1480" s="1"/>
      <c r="ABU1480" s="1"/>
      <c r="ABV1480" s="1"/>
      <c r="ABW1480" s="1"/>
      <c r="ABX1480" s="1"/>
      <c r="ABY1480" s="1"/>
      <c r="ABZ1480" s="1"/>
      <c r="ACA1480" s="1"/>
      <c r="ACB1480" s="1"/>
      <c r="ACC1480" s="1"/>
      <c r="ACD1480" s="1"/>
      <c r="ACE1480" s="1"/>
      <c r="ACF1480" s="1"/>
      <c r="ACG1480" s="1"/>
      <c r="ACH1480" s="1"/>
      <c r="ACI1480" s="1"/>
      <c r="ACJ1480" s="1"/>
      <c r="ACK1480" s="1"/>
      <c r="ACL1480" s="1"/>
      <c r="ACM1480" s="1"/>
      <c r="ACN1480" s="1"/>
      <c r="ACO1480" s="1"/>
      <c r="ACP1480" s="1"/>
      <c r="ACQ1480" s="1"/>
      <c r="ACR1480" s="1"/>
      <c r="ACS1480" s="1"/>
      <c r="ACT1480" s="1"/>
      <c r="ACU1480" s="1"/>
      <c r="ACV1480" s="1"/>
      <c r="ACW1480" s="1"/>
      <c r="ACX1480" s="1"/>
      <c r="ACY1480" s="1"/>
      <c r="ACZ1480" s="1"/>
      <c r="ADA1480" s="1"/>
      <c r="ADB1480" s="1"/>
      <c r="ADC1480" s="1"/>
      <c r="ADD1480" s="1"/>
      <c r="ADE1480" s="1"/>
      <c r="ADF1480" s="1"/>
      <c r="ADG1480" s="1"/>
      <c r="ADH1480" s="1"/>
      <c r="ADI1480" s="1"/>
      <c r="ADJ1480" s="1"/>
      <c r="ADK1480" s="1"/>
      <c r="ADL1480" s="1"/>
      <c r="ADM1480" s="1"/>
      <c r="ADN1480" s="1"/>
      <c r="ADO1480" s="1"/>
      <c r="ADP1480" s="1"/>
      <c r="ADQ1480" s="1"/>
      <c r="ADR1480" s="1"/>
      <c r="ADS1480" s="1"/>
      <c r="ADT1480" s="1"/>
      <c r="ADU1480" s="1"/>
      <c r="ADV1480" s="1"/>
      <c r="ADW1480" s="1"/>
      <c r="ADX1480" s="1"/>
      <c r="ADY1480" s="1"/>
      <c r="ADZ1480" s="1"/>
      <c r="AEA1480" s="1"/>
      <c r="AEB1480" s="1"/>
      <c r="AEC1480" s="1"/>
      <c r="AED1480" s="1"/>
      <c r="AEE1480" s="1"/>
      <c r="AEF1480" s="1"/>
      <c r="AEG1480" s="1"/>
      <c r="AEH1480" s="1"/>
      <c r="AEI1480" s="1"/>
      <c r="AEJ1480" s="1"/>
      <c r="AEK1480" s="1"/>
      <c r="AEL1480" s="1"/>
      <c r="AEM1480" s="1"/>
      <c r="AEN1480" s="1"/>
      <c r="AEO1480" s="1"/>
      <c r="AEP1480" s="1"/>
      <c r="AEQ1480" s="1"/>
      <c r="AER1480" s="1"/>
      <c r="AES1480" s="1"/>
      <c r="AET1480" s="1"/>
      <c r="AEU1480" s="1"/>
      <c r="AEV1480" s="1"/>
      <c r="AEW1480" s="1"/>
      <c r="AEX1480" s="1"/>
      <c r="AEY1480" s="1"/>
      <c r="AEZ1480" s="1"/>
      <c r="AFA1480" s="1"/>
      <c r="AFB1480" s="1"/>
      <c r="AFC1480" s="1"/>
      <c r="AFD1480" s="1"/>
      <c r="AFE1480" s="1"/>
      <c r="AFF1480" s="1"/>
      <c r="AFG1480" s="1"/>
      <c r="AFH1480" s="1"/>
      <c r="AFI1480" s="1"/>
      <c r="AFJ1480" s="1"/>
      <c r="AFK1480" s="1"/>
      <c r="AFL1480" s="1"/>
      <c r="AFM1480" s="1"/>
      <c r="AFN1480" s="1"/>
      <c r="AFO1480" s="1"/>
      <c r="AFP1480" s="1"/>
      <c r="AFQ1480" s="1"/>
      <c r="AFR1480" s="1"/>
      <c r="AFS1480" s="1"/>
      <c r="AFT1480" s="1"/>
      <c r="AFU1480" s="1"/>
      <c r="AFV1480" s="1"/>
      <c r="AFW1480" s="1"/>
      <c r="AFX1480" s="1"/>
      <c r="AFY1480" s="1"/>
      <c r="AFZ1480" s="1"/>
      <c r="AGA1480" s="1"/>
      <c r="AGB1480" s="1"/>
      <c r="AGC1480" s="1"/>
      <c r="AGD1480" s="1"/>
      <c r="AGE1480" s="1"/>
      <c r="AGF1480" s="1"/>
      <c r="AGG1480" s="1"/>
      <c r="AGH1480" s="1"/>
      <c r="AGI1480" s="1"/>
      <c r="AGJ1480" s="1"/>
      <c r="AGK1480" s="1"/>
      <c r="AGL1480" s="1"/>
      <c r="AGM1480" s="1"/>
      <c r="AGN1480" s="1"/>
      <c r="AGO1480" s="1"/>
      <c r="AGP1480" s="1"/>
      <c r="AGQ1480" s="1"/>
      <c r="AGR1480" s="1"/>
      <c r="AGS1480" s="1"/>
      <c r="AGT1480" s="1"/>
      <c r="AGU1480" s="1"/>
      <c r="AGV1480" s="1"/>
      <c r="AGW1480" s="1"/>
      <c r="AGX1480" s="1"/>
      <c r="AGY1480" s="1"/>
      <c r="AGZ1480" s="1"/>
      <c r="AHA1480" s="1"/>
      <c r="AHB1480" s="1"/>
      <c r="AHC1480" s="1"/>
      <c r="AHD1480" s="1"/>
      <c r="AHE1480" s="1"/>
      <c r="AHF1480" s="1"/>
      <c r="AHG1480" s="1"/>
      <c r="AHH1480" s="1"/>
      <c r="AHI1480" s="1"/>
      <c r="AHJ1480" s="1"/>
      <c r="AHK1480" s="1"/>
      <c r="AHL1480" s="1"/>
      <c r="AHM1480" s="1"/>
      <c r="AHN1480" s="1"/>
      <c r="AHO1480" s="1"/>
      <c r="AHP1480" s="1"/>
      <c r="AHQ1480" s="1"/>
      <c r="AHR1480" s="1"/>
      <c r="AHS1480" s="1"/>
      <c r="AHT1480" s="1"/>
      <c r="AHU1480" s="1"/>
      <c r="AHV1480" s="1"/>
      <c r="AHW1480" s="1"/>
      <c r="AHX1480" s="1"/>
      <c r="AHY1480" s="1"/>
      <c r="AHZ1480" s="1"/>
      <c r="AIA1480" s="1"/>
      <c r="AIB1480" s="1"/>
      <c r="AIC1480" s="1"/>
      <c r="AID1480" s="1"/>
      <c r="AIE1480" s="1"/>
      <c r="AIF1480" s="1"/>
      <c r="AIG1480" s="1"/>
      <c r="AIH1480" s="1"/>
      <c r="AII1480" s="1"/>
      <c r="AIJ1480" s="1"/>
      <c r="AIK1480" s="1"/>
      <c r="AIL1480" s="1"/>
      <c r="AIM1480" s="1"/>
      <c r="AIN1480" s="1"/>
      <c r="AIO1480" s="1"/>
      <c r="AIP1480" s="1"/>
      <c r="AIQ1480" s="1"/>
      <c r="AIR1480" s="1"/>
      <c r="AIS1480" s="1"/>
      <c r="AIT1480" s="1"/>
      <c r="AIU1480" s="1"/>
      <c r="AIV1480" s="1"/>
      <c r="AIW1480" s="1"/>
      <c r="AIX1480" s="1"/>
      <c r="AIY1480" s="1"/>
      <c r="AIZ1480" s="1"/>
      <c r="AJA1480" s="1"/>
      <c r="AJB1480" s="1"/>
      <c r="AJC1480" s="1"/>
      <c r="AJD1480" s="1"/>
      <c r="AJE1480" s="1"/>
      <c r="AJF1480" s="1"/>
      <c r="AJG1480" s="1"/>
      <c r="AJH1480" s="1"/>
      <c r="AJI1480" s="1"/>
      <c r="AJJ1480" s="1"/>
      <c r="AJK1480" s="1"/>
      <c r="AJL1480" s="1"/>
      <c r="AJM1480" s="1"/>
      <c r="AJN1480" s="1"/>
      <c r="AJO1480" s="1"/>
      <c r="AJP1480" s="1"/>
      <c r="AJQ1480" s="1"/>
      <c r="AJR1480" s="1"/>
      <c r="AJS1480" s="1"/>
      <c r="AJT1480" s="1"/>
      <c r="AJU1480" s="1"/>
      <c r="AJV1480" s="1"/>
      <c r="AJW1480" s="1"/>
      <c r="AJX1480" s="1"/>
      <c r="AJY1480" s="1"/>
      <c r="AJZ1480" s="1"/>
      <c r="AKA1480" s="1"/>
      <c r="AKB1480" s="1"/>
      <c r="AKC1480" s="1"/>
      <c r="AKD1480" s="1"/>
      <c r="AKE1480" s="1"/>
      <c r="AKF1480" s="1"/>
      <c r="AKG1480" s="1"/>
      <c r="AKH1480" s="1"/>
      <c r="AKI1480" s="1"/>
      <c r="AKJ1480" s="1"/>
      <c r="AKK1480" s="1"/>
      <c r="AKL1480" s="1"/>
      <c r="AKM1480" s="1"/>
      <c r="AKN1480" s="1"/>
      <c r="AKO1480" s="1"/>
      <c r="AKP1480" s="1"/>
      <c r="AKQ1480" s="1"/>
      <c r="AKR1480" s="1"/>
      <c r="AKS1480" s="1"/>
      <c r="AKT1480" s="1"/>
      <c r="AKU1480" s="1"/>
      <c r="AKV1480" s="1"/>
      <c r="AKW1480" s="1"/>
      <c r="AKX1480" s="1"/>
      <c r="AKY1480" s="1"/>
      <c r="AKZ1480" s="1"/>
      <c r="ALA1480" s="1"/>
      <c r="ALB1480" s="1"/>
      <c r="ALC1480" s="1"/>
      <c r="ALD1480" s="1"/>
      <c r="ALE1480" s="1"/>
      <c r="ALF1480" s="1"/>
      <c r="ALG1480" s="1"/>
      <c r="ALH1480" s="1"/>
      <c r="ALI1480" s="1"/>
      <c r="ALJ1480" s="1"/>
      <c r="ALK1480" s="1"/>
      <c r="ALL1480" s="1"/>
      <c r="ALM1480" s="1"/>
      <c r="ALN1480" s="1"/>
      <c r="ALO1480" s="1"/>
      <c r="ALP1480" s="1"/>
      <c r="ALQ1480" s="1"/>
      <c r="ALR1480" s="1"/>
      <c r="ALS1480" s="1"/>
      <c r="ALT1480" s="1"/>
      <c r="ALU1480" s="1"/>
      <c r="ALV1480" s="1"/>
      <c r="ALW1480" s="1"/>
      <c r="ALX1480" s="1"/>
      <c r="ALY1480" s="1"/>
      <c r="ALZ1480" s="1"/>
      <c r="AMA1480" s="1"/>
      <c r="AMB1480" s="1"/>
      <c r="AMC1480" s="1"/>
      <c r="AMD1480" s="1"/>
      <c r="AME1480" s="1"/>
      <c r="AMF1480" s="1"/>
      <c r="AMG1480" s="1"/>
      <c r="AMH1480" s="1"/>
      <c r="AMI1480" s="1"/>
      <c r="AMJ1480" s="1"/>
      <c r="AMK1480" s="1"/>
    </row>
    <row r="1481" spans="1:1025" s="2" customFormat="1" ht="30" x14ac:dyDescent="0.25">
      <c r="A1481" s="201"/>
      <c r="B1481" s="202"/>
      <c r="C1481" s="202"/>
      <c r="D1481" s="202"/>
      <c r="E1481" s="202"/>
      <c r="F1481" s="202"/>
      <c r="G1481" s="202"/>
      <c r="H1481" s="202"/>
      <c r="I1481" s="203"/>
      <c r="J1481" s="157" t="s">
        <v>35</v>
      </c>
      <c r="K1481" s="160">
        <f>K1402</f>
        <v>500</v>
      </c>
      <c r="L1481" s="924" t="s">
        <v>8</v>
      </c>
      <c r="M1481" s="160">
        <f>M1402</f>
        <v>2023.66</v>
      </c>
      <c r="N1481" s="192"/>
      <c r="O1481" s="924"/>
      <c r="P1481" s="157" t="s">
        <v>35</v>
      </c>
      <c r="Q1481" s="924"/>
      <c r="R1481" s="924" t="s">
        <v>8</v>
      </c>
      <c r="S1481" s="924"/>
      <c r="T1481" s="192"/>
      <c r="U1481" s="924"/>
      <c r="V1481" s="157" t="s">
        <v>35</v>
      </c>
      <c r="W1481" s="924"/>
      <c r="X1481" s="924" t="s">
        <v>8</v>
      </c>
      <c r="Y1481" s="924"/>
      <c r="Z1481" s="192"/>
      <c r="AA1481" s="924"/>
      <c r="AB1481" s="157" t="s">
        <v>35</v>
      </c>
      <c r="AC1481" s="924"/>
      <c r="AD1481" s="924" t="s">
        <v>8</v>
      </c>
      <c r="AE1481" s="924"/>
      <c r="AF1481" s="192"/>
      <c r="AG1481" s="924"/>
      <c r="AH1481" s="157" t="s">
        <v>35</v>
      </c>
      <c r="AI1481" s="924"/>
      <c r="AJ1481" s="924" t="s">
        <v>8</v>
      </c>
      <c r="AK1481" s="924"/>
      <c r="AL1481" s="192"/>
      <c r="AM1481" s="924"/>
      <c r="AN1481" s="157" t="s">
        <v>35</v>
      </c>
      <c r="AO1481" s="924"/>
      <c r="AP1481" s="924" t="s">
        <v>8</v>
      </c>
      <c r="AQ1481" s="924"/>
      <c r="AR1481" s="55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  <c r="EA1481" s="1"/>
      <c r="EB1481" s="1"/>
      <c r="EC1481" s="1"/>
      <c r="ED1481" s="1"/>
      <c r="EE1481" s="1"/>
      <c r="EF1481" s="1"/>
      <c r="EG1481" s="1"/>
      <c r="EH1481" s="1"/>
      <c r="EI1481" s="1"/>
      <c r="EJ1481" s="1"/>
      <c r="EK1481" s="1"/>
      <c r="EL1481" s="1"/>
      <c r="EM1481" s="1"/>
      <c r="EN1481" s="1"/>
      <c r="EO1481" s="1"/>
      <c r="EP1481" s="1"/>
      <c r="EQ1481" s="1"/>
      <c r="ER1481" s="1"/>
      <c r="ES1481" s="1"/>
      <c r="ET1481" s="1"/>
      <c r="EU1481" s="1"/>
      <c r="EV1481" s="1"/>
      <c r="EW1481" s="1"/>
      <c r="EX1481" s="1"/>
      <c r="EY1481" s="1"/>
      <c r="EZ1481" s="1"/>
      <c r="FA1481" s="1"/>
      <c r="FB1481" s="1"/>
      <c r="FC1481" s="1"/>
      <c r="FD1481" s="1"/>
      <c r="FE1481" s="1"/>
      <c r="FF1481" s="1"/>
      <c r="FG1481" s="1"/>
      <c r="FH1481" s="1"/>
      <c r="FI1481" s="1"/>
      <c r="FJ1481" s="1"/>
      <c r="FK1481" s="1"/>
      <c r="FL1481" s="1"/>
      <c r="FM1481" s="1"/>
      <c r="FN1481" s="1"/>
      <c r="FO1481" s="1"/>
      <c r="FP1481" s="1"/>
      <c r="FQ1481" s="1"/>
      <c r="FR1481" s="1"/>
      <c r="FS1481" s="1"/>
      <c r="FT1481" s="1"/>
      <c r="FU1481" s="1"/>
      <c r="FV1481" s="1"/>
      <c r="FW1481" s="1"/>
      <c r="FX1481" s="1"/>
      <c r="FY1481" s="1"/>
      <c r="FZ1481" s="1"/>
      <c r="GA1481" s="1"/>
      <c r="GB1481" s="1"/>
      <c r="GC1481" s="1"/>
      <c r="GD1481" s="1"/>
      <c r="GE1481" s="1"/>
      <c r="GF1481" s="1"/>
      <c r="GG1481" s="1"/>
      <c r="GH1481" s="1"/>
      <c r="GI1481" s="1"/>
      <c r="GJ1481" s="1"/>
      <c r="GK1481" s="1"/>
      <c r="GL1481" s="1"/>
      <c r="GM1481" s="1"/>
      <c r="GN1481" s="1"/>
      <c r="GO1481" s="1"/>
      <c r="GP1481" s="1"/>
      <c r="GQ1481" s="1"/>
      <c r="GR1481" s="1"/>
      <c r="GS1481" s="1"/>
      <c r="GT1481" s="1"/>
      <c r="GU1481" s="1"/>
      <c r="GV1481" s="1"/>
      <c r="GW1481" s="1"/>
      <c r="GX1481" s="1"/>
      <c r="GY1481" s="1"/>
      <c r="GZ1481" s="1"/>
      <c r="HA1481" s="1"/>
      <c r="HB1481" s="1"/>
      <c r="HC1481" s="1"/>
      <c r="HD1481" s="1"/>
      <c r="HE1481" s="1"/>
      <c r="HF1481" s="1"/>
      <c r="HG1481" s="1"/>
      <c r="HH1481" s="1"/>
      <c r="HI1481" s="1"/>
      <c r="HJ1481" s="1"/>
      <c r="HK1481" s="1"/>
      <c r="HL1481" s="1"/>
      <c r="HM1481" s="1"/>
      <c r="HN1481" s="1"/>
      <c r="HO1481" s="1"/>
      <c r="HP1481" s="1"/>
      <c r="HQ1481" s="1"/>
      <c r="HR1481" s="1"/>
      <c r="HS1481" s="1"/>
      <c r="HT1481" s="1"/>
      <c r="HU1481" s="1"/>
      <c r="HV1481" s="1"/>
      <c r="HW1481" s="1"/>
      <c r="HX1481" s="1"/>
      <c r="HY1481" s="1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  <c r="IU1481" s="1"/>
      <c r="IV1481" s="1"/>
      <c r="IW1481" s="1"/>
      <c r="IX1481" s="1"/>
      <c r="IY1481" s="1"/>
      <c r="IZ1481" s="1"/>
      <c r="JA1481" s="1"/>
      <c r="JB1481" s="1"/>
      <c r="JC1481" s="1"/>
      <c r="JD1481" s="1"/>
      <c r="JE1481" s="1"/>
      <c r="JF1481" s="1"/>
      <c r="JG1481" s="1"/>
      <c r="JH1481" s="1"/>
      <c r="JI1481" s="1"/>
      <c r="JJ1481" s="1"/>
      <c r="JK1481" s="1"/>
      <c r="JL1481" s="1"/>
      <c r="JM1481" s="1"/>
      <c r="JN1481" s="1"/>
      <c r="JO1481" s="1"/>
      <c r="JP1481" s="1"/>
      <c r="JQ1481" s="1"/>
      <c r="JR1481" s="1"/>
      <c r="JS1481" s="1"/>
      <c r="JT1481" s="1"/>
      <c r="JU1481" s="1"/>
      <c r="JV1481" s="1"/>
      <c r="JW1481" s="1"/>
      <c r="JX1481" s="1"/>
      <c r="JY1481" s="1"/>
      <c r="JZ1481" s="1"/>
      <c r="KA1481" s="1"/>
      <c r="KB1481" s="1"/>
      <c r="KC1481" s="1"/>
      <c r="KD1481" s="1"/>
      <c r="KE1481" s="1"/>
      <c r="KF1481" s="1"/>
      <c r="KG1481" s="1"/>
      <c r="KH1481" s="1"/>
      <c r="KI1481" s="1"/>
      <c r="KJ1481" s="1"/>
      <c r="KK1481" s="1"/>
      <c r="KL1481" s="1"/>
      <c r="KM1481" s="1"/>
      <c r="KN1481" s="1"/>
      <c r="KO1481" s="1"/>
      <c r="KP1481" s="1"/>
      <c r="KQ1481" s="1"/>
      <c r="KR1481" s="1"/>
      <c r="KS1481" s="1"/>
      <c r="KT1481" s="1"/>
      <c r="KU1481" s="1"/>
      <c r="KV1481" s="1"/>
      <c r="KW1481" s="1"/>
      <c r="KX1481" s="1"/>
      <c r="KY1481" s="1"/>
      <c r="KZ1481" s="1"/>
      <c r="LA1481" s="1"/>
      <c r="LB1481" s="1"/>
      <c r="LC1481" s="1"/>
      <c r="LD1481" s="1"/>
      <c r="LE1481" s="1"/>
      <c r="LF1481" s="1"/>
      <c r="LG1481" s="1"/>
      <c r="LH1481" s="1"/>
      <c r="LI1481" s="1"/>
      <c r="LJ1481" s="1"/>
      <c r="LK1481" s="1"/>
      <c r="LL1481" s="1"/>
      <c r="LM1481" s="1"/>
      <c r="LN1481" s="1"/>
      <c r="LO1481" s="1"/>
      <c r="LP1481" s="1"/>
      <c r="LQ1481" s="1"/>
      <c r="LR1481" s="1"/>
      <c r="LS1481" s="1"/>
      <c r="LT1481" s="1"/>
      <c r="LU1481" s="1"/>
      <c r="LV1481" s="1"/>
      <c r="LW1481" s="1"/>
      <c r="LX1481" s="1"/>
      <c r="LY1481" s="1"/>
      <c r="LZ1481" s="1"/>
      <c r="MA1481" s="1"/>
      <c r="MB1481" s="1"/>
      <c r="MC1481" s="1"/>
      <c r="MD1481" s="1"/>
      <c r="ME1481" s="1"/>
      <c r="MF1481" s="1"/>
      <c r="MG1481" s="1"/>
      <c r="MH1481" s="1"/>
      <c r="MI1481" s="1"/>
      <c r="MJ1481" s="1"/>
      <c r="MK1481" s="1"/>
      <c r="ML1481" s="1"/>
      <c r="MM1481" s="1"/>
      <c r="MN1481" s="1"/>
      <c r="MO1481" s="1"/>
      <c r="MP1481" s="1"/>
      <c r="MQ1481" s="1"/>
      <c r="MR1481" s="1"/>
      <c r="MS1481" s="1"/>
      <c r="MT1481" s="1"/>
      <c r="MU1481" s="1"/>
      <c r="MV1481" s="1"/>
      <c r="MW1481" s="1"/>
      <c r="MX1481" s="1"/>
      <c r="MY1481" s="1"/>
      <c r="MZ1481" s="1"/>
      <c r="NA1481" s="1"/>
      <c r="NB1481" s="1"/>
      <c r="NC1481" s="1"/>
      <c r="ND1481" s="1"/>
      <c r="NE1481" s="1"/>
      <c r="NF1481" s="1"/>
      <c r="NG1481" s="1"/>
      <c r="NH1481" s="1"/>
      <c r="NI1481" s="1"/>
      <c r="NJ1481" s="1"/>
      <c r="NK1481" s="1"/>
      <c r="NL1481" s="1"/>
      <c r="NM1481" s="1"/>
      <c r="NN1481" s="1"/>
      <c r="NO1481" s="1"/>
      <c r="NP1481" s="1"/>
      <c r="NQ1481" s="1"/>
      <c r="NR1481" s="1"/>
      <c r="NS1481" s="1"/>
      <c r="NT1481" s="1"/>
      <c r="NU1481" s="1"/>
      <c r="NV1481" s="1"/>
      <c r="NW1481" s="1"/>
      <c r="NX1481" s="1"/>
      <c r="NY1481" s="1"/>
      <c r="NZ1481" s="1"/>
      <c r="OA1481" s="1"/>
      <c r="OB1481" s="1"/>
      <c r="OC1481" s="1"/>
      <c r="OD1481" s="1"/>
      <c r="OE1481" s="1"/>
      <c r="OF1481" s="1"/>
      <c r="OG1481" s="1"/>
      <c r="OH1481" s="1"/>
      <c r="OI1481" s="1"/>
      <c r="OJ1481" s="1"/>
      <c r="OK1481" s="1"/>
      <c r="OL1481" s="1"/>
      <c r="OM1481" s="1"/>
      <c r="ON1481" s="1"/>
      <c r="OO1481" s="1"/>
      <c r="OP1481" s="1"/>
      <c r="OQ1481" s="1"/>
      <c r="OR1481" s="1"/>
      <c r="OS1481" s="1"/>
      <c r="OT1481" s="1"/>
      <c r="OU1481" s="1"/>
      <c r="OV1481" s="1"/>
      <c r="OW1481" s="1"/>
      <c r="OX1481" s="1"/>
      <c r="OY1481" s="1"/>
      <c r="OZ1481" s="1"/>
      <c r="PA1481" s="1"/>
      <c r="PB1481" s="1"/>
      <c r="PC1481" s="1"/>
      <c r="PD1481" s="1"/>
      <c r="PE1481" s="1"/>
      <c r="PF1481" s="1"/>
      <c r="PG1481" s="1"/>
      <c r="PH1481" s="1"/>
      <c r="PI1481" s="1"/>
      <c r="PJ1481" s="1"/>
      <c r="PK1481" s="1"/>
      <c r="PL1481" s="1"/>
      <c r="PM1481" s="1"/>
      <c r="PN1481" s="1"/>
      <c r="PO1481" s="1"/>
      <c r="PP1481" s="1"/>
      <c r="PQ1481" s="1"/>
      <c r="PR1481" s="1"/>
      <c r="PS1481" s="1"/>
      <c r="PT1481" s="1"/>
      <c r="PU1481" s="1"/>
      <c r="PV1481" s="1"/>
      <c r="PW1481" s="1"/>
      <c r="PX1481" s="1"/>
      <c r="PY1481" s="1"/>
      <c r="PZ1481" s="1"/>
      <c r="QA1481" s="1"/>
      <c r="QB1481" s="1"/>
      <c r="QC1481" s="1"/>
      <c r="QD1481" s="1"/>
      <c r="QE1481" s="1"/>
      <c r="QF1481" s="1"/>
      <c r="QG1481" s="1"/>
      <c r="QH1481" s="1"/>
      <c r="QI1481" s="1"/>
      <c r="QJ1481" s="1"/>
      <c r="QK1481" s="1"/>
      <c r="QL1481" s="1"/>
      <c r="QM1481" s="1"/>
      <c r="QN1481" s="1"/>
      <c r="QO1481" s="1"/>
      <c r="QP1481" s="1"/>
      <c r="QQ1481" s="1"/>
      <c r="QR1481" s="1"/>
      <c r="QS1481" s="1"/>
      <c r="QT1481" s="1"/>
      <c r="QU1481" s="1"/>
      <c r="QV1481" s="1"/>
      <c r="QW1481" s="1"/>
      <c r="QX1481" s="1"/>
      <c r="QY1481" s="1"/>
      <c r="QZ1481" s="1"/>
      <c r="RA1481" s="1"/>
      <c r="RB1481" s="1"/>
      <c r="RC1481" s="1"/>
      <c r="RD1481" s="1"/>
      <c r="RE1481" s="1"/>
      <c r="RF1481" s="1"/>
      <c r="RG1481" s="1"/>
      <c r="RH1481" s="1"/>
      <c r="RI1481" s="1"/>
      <c r="RJ1481" s="1"/>
      <c r="RK1481" s="1"/>
      <c r="RL1481" s="1"/>
      <c r="RM1481" s="1"/>
      <c r="RN1481" s="1"/>
      <c r="RO1481" s="1"/>
      <c r="RP1481" s="1"/>
      <c r="RQ1481" s="1"/>
      <c r="RR1481" s="1"/>
      <c r="RS1481" s="1"/>
      <c r="RT1481" s="1"/>
      <c r="RU1481" s="1"/>
      <c r="RV1481" s="1"/>
      <c r="RW1481" s="1"/>
      <c r="RX1481" s="1"/>
      <c r="RY1481" s="1"/>
      <c r="RZ1481" s="1"/>
      <c r="SA1481" s="1"/>
      <c r="SB1481" s="1"/>
      <c r="SC1481" s="1"/>
      <c r="SD1481" s="1"/>
      <c r="SE1481" s="1"/>
      <c r="SF1481" s="1"/>
      <c r="SG1481" s="1"/>
      <c r="SH1481" s="1"/>
      <c r="SI1481" s="1"/>
      <c r="SJ1481" s="1"/>
      <c r="SK1481" s="1"/>
      <c r="SL1481" s="1"/>
      <c r="SM1481" s="1"/>
      <c r="SN1481" s="1"/>
      <c r="SO1481" s="1"/>
      <c r="SP1481" s="1"/>
      <c r="SQ1481" s="1"/>
      <c r="SR1481" s="1"/>
      <c r="SS1481" s="1"/>
      <c r="ST1481" s="1"/>
      <c r="SU1481" s="1"/>
      <c r="SV1481" s="1"/>
      <c r="SW1481" s="1"/>
      <c r="SX1481" s="1"/>
      <c r="SY1481" s="1"/>
      <c r="SZ1481" s="1"/>
      <c r="TA1481" s="1"/>
      <c r="TB1481" s="1"/>
      <c r="TC1481" s="1"/>
      <c r="TD1481" s="1"/>
      <c r="TE1481" s="1"/>
      <c r="TF1481" s="1"/>
      <c r="TG1481" s="1"/>
      <c r="TH1481" s="1"/>
      <c r="TI1481" s="1"/>
      <c r="TJ1481" s="1"/>
      <c r="TK1481" s="1"/>
      <c r="TL1481" s="1"/>
      <c r="TM1481" s="1"/>
      <c r="TN1481" s="1"/>
      <c r="TO1481" s="1"/>
      <c r="TP1481" s="1"/>
      <c r="TQ1481" s="1"/>
      <c r="TR1481" s="1"/>
      <c r="TS1481" s="1"/>
      <c r="TT1481" s="1"/>
      <c r="TU1481" s="1"/>
      <c r="TV1481" s="1"/>
      <c r="TW1481" s="1"/>
      <c r="TX1481" s="1"/>
      <c r="TY1481" s="1"/>
      <c r="TZ1481" s="1"/>
      <c r="UA1481" s="1"/>
      <c r="UB1481" s="1"/>
      <c r="UC1481" s="1"/>
      <c r="UD1481" s="1"/>
      <c r="UE1481" s="1"/>
      <c r="UF1481" s="1"/>
      <c r="UG1481" s="1"/>
      <c r="UH1481" s="1"/>
      <c r="UI1481" s="1"/>
      <c r="UJ1481" s="1"/>
      <c r="UK1481" s="1"/>
      <c r="UL1481" s="1"/>
      <c r="UM1481" s="1"/>
      <c r="UN1481" s="1"/>
      <c r="UO1481" s="1"/>
      <c r="UP1481" s="1"/>
      <c r="UQ1481" s="1"/>
      <c r="UR1481" s="1"/>
      <c r="US1481" s="1"/>
      <c r="UT1481" s="1"/>
      <c r="UU1481" s="1"/>
      <c r="UV1481" s="1"/>
      <c r="UW1481" s="1"/>
      <c r="UX1481" s="1"/>
      <c r="UY1481" s="1"/>
      <c r="UZ1481" s="1"/>
      <c r="VA1481" s="1"/>
      <c r="VB1481" s="1"/>
      <c r="VC1481" s="1"/>
      <c r="VD1481" s="1"/>
      <c r="VE1481" s="1"/>
      <c r="VF1481" s="1"/>
      <c r="VG1481" s="1"/>
      <c r="VH1481" s="1"/>
      <c r="VI1481" s="1"/>
      <c r="VJ1481" s="1"/>
      <c r="VK1481" s="1"/>
      <c r="VL1481" s="1"/>
      <c r="VM1481" s="1"/>
      <c r="VN1481" s="1"/>
      <c r="VO1481" s="1"/>
      <c r="VP1481" s="1"/>
      <c r="VQ1481" s="1"/>
      <c r="VR1481" s="1"/>
      <c r="VS1481" s="1"/>
      <c r="VT1481" s="1"/>
      <c r="VU1481" s="1"/>
      <c r="VV1481" s="1"/>
      <c r="VW1481" s="1"/>
      <c r="VX1481" s="1"/>
      <c r="VY1481" s="1"/>
      <c r="VZ1481" s="1"/>
      <c r="WA1481" s="1"/>
      <c r="WB1481" s="1"/>
      <c r="WC1481" s="1"/>
      <c r="WD1481" s="1"/>
      <c r="WE1481" s="1"/>
      <c r="WF1481" s="1"/>
      <c r="WG1481" s="1"/>
      <c r="WH1481" s="1"/>
      <c r="WI1481" s="1"/>
      <c r="WJ1481" s="1"/>
      <c r="WK1481" s="1"/>
      <c r="WL1481" s="1"/>
      <c r="WM1481" s="1"/>
      <c r="WN1481" s="1"/>
      <c r="WO1481" s="1"/>
      <c r="WP1481" s="1"/>
      <c r="WQ1481" s="1"/>
      <c r="WR1481" s="1"/>
      <c r="WS1481" s="1"/>
      <c r="WT1481" s="1"/>
      <c r="WU1481" s="1"/>
      <c r="WV1481" s="1"/>
      <c r="WW1481" s="1"/>
      <c r="WX1481" s="1"/>
      <c r="WY1481" s="1"/>
      <c r="WZ1481" s="1"/>
      <c r="XA1481" s="1"/>
      <c r="XB1481" s="1"/>
      <c r="XC1481" s="1"/>
      <c r="XD1481" s="1"/>
      <c r="XE1481" s="1"/>
      <c r="XF1481" s="1"/>
      <c r="XG1481" s="1"/>
      <c r="XH1481" s="1"/>
      <c r="XI1481" s="1"/>
      <c r="XJ1481" s="1"/>
      <c r="XK1481" s="1"/>
      <c r="XL1481" s="1"/>
      <c r="XM1481" s="1"/>
      <c r="XN1481" s="1"/>
      <c r="XO1481" s="1"/>
      <c r="XP1481" s="1"/>
      <c r="XQ1481" s="1"/>
      <c r="XR1481" s="1"/>
      <c r="XS1481" s="1"/>
      <c r="XT1481" s="1"/>
      <c r="XU1481" s="1"/>
      <c r="XV1481" s="1"/>
      <c r="XW1481" s="1"/>
      <c r="XX1481" s="1"/>
      <c r="XY1481" s="1"/>
      <c r="XZ1481" s="1"/>
      <c r="YA1481" s="1"/>
      <c r="YB1481" s="1"/>
      <c r="YC1481" s="1"/>
      <c r="YD1481" s="1"/>
      <c r="YE1481" s="1"/>
      <c r="YF1481" s="1"/>
      <c r="YG1481" s="1"/>
      <c r="YH1481" s="1"/>
      <c r="YI1481" s="1"/>
      <c r="YJ1481" s="1"/>
      <c r="YK1481" s="1"/>
      <c r="YL1481" s="1"/>
      <c r="YM1481" s="1"/>
      <c r="YN1481" s="1"/>
      <c r="YO1481" s="1"/>
      <c r="YP1481" s="1"/>
      <c r="YQ1481" s="1"/>
      <c r="YR1481" s="1"/>
      <c r="YS1481" s="1"/>
      <c r="YT1481" s="1"/>
      <c r="YU1481" s="1"/>
      <c r="YV1481" s="1"/>
      <c r="YW1481" s="1"/>
      <c r="YX1481" s="1"/>
      <c r="YY1481" s="1"/>
      <c r="YZ1481" s="1"/>
      <c r="ZA1481" s="1"/>
      <c r="ZB1481" s="1"/>
      <c r="ZC1481" s="1"/>
      <c r="ZD1481" s="1"/>
      <c r="ZE1481" s="1"/>
      <c r="ZF1481" s="1"/>
      <c r="ZG1481" s="1"/>
      <c r="ZH1481" s="1"/>
      <c r="ZI1481" s="1"/>
      <c r="ZJ1481" s="1"/>
      <c r="ZK1481" s="1"/>
      <c r="ZL1481" s="1"/>
      <c r="ZM1481" s="1"/>
      <c r="ZN1481" s="1"/>
      <c r="ZO1481" s="1"/>
      <c r="ZP1481" s="1"/>
      <c r="ZQ1481" s="1"/>
      <c r="ZR1481" s="1"/>
      <c r="ZS1481" s="1"/>
      <c r="ZT1481" s="1"/>
      <c r="ZU1481" s="1"/>
      <c r="ZV1481" s="1"/>
      <c r="ZW1481" s="1"/>
      <c r="ZX1481" s="1"/>
      <c r="ZY1481" s="1"/>
      <c r="ZZ1481" s="1"/>
      <c r="AAA1481" s="1"/>
      <c r="AAB1481" s="1"/>
      <c r="AAC1481" s="1"/>
      <c r="AAD1481" s="1"/>
      <c r="AAE1481" s="1"/>
      <c r="AAF1481" s="1"/>
      <c r="AAG1481" s="1"/>
      <c r="AAH1481" s="1"/>
      <c r="AAI1481" s="1"/>
      <c r="AAJ1481" s="1"/>
      <c r="AAK1481" s="1"/>
      <c r="AAL1481" s="1"/>
      <c r="AAM1481" s="1"/>
      <c r="AAN1481" s="1"/>
      <c r="AAO1481" s="1"/>
      <c r="AAP1481" s="1"/>
      <c r="AAQ1481" s="1"/>
      <c r="AAR1481" s="1"/>
      <c r="AAS1481" s="1"/>
      <c r="AAT1481" s="1"/>
      <c r="AAU1481" s="1"/>
      <c r="AAV1481" s="1"/>
      <c r="AAW1481" s="1"/>
      <c r="AAX1481" s="1"/>
      <c r="AAY1481" s="1"/>
      <c r="AAZ1481" s="1"/>
      <c r="ABA1481" s="1"/>
      <c r="ABB1481" s="1"/>
      <c r="ABC1481" s="1"/>
      <c r="ABD1481" s="1"/>
      <c r="ABE1481" s="1"/>
      <c r="ABF1481" s="1"/>
      <c r="ABG1481" s="1"/>
      <c r="ABH1481" s="1"/>
      <c r="ABI1481" s="1"/>
      <c r="ABJ1481" s="1"/>
      <c r="ABK1481" s="1"/>
      <c r="ABL1481" s="1"/>
      <c r="ABM1481" s="1"/>
      <c r="ABN1481" s="1"/>
      <c r="ABO1481" s="1"/>
      <c r="ABP1481" s="1"/>
      <c r="ABQ1481" s="1"/>
      <c r="ABR1481" s="1"/>
      <c r="ABS1481" s="1"/>
      <c r="ABT1481" s="1"/>
      <c r="ABU1481" s="1"/>
      <c r="ABV1481" s="1"/>
      <c r="ABW1481" s="1"/>
      <c r="ABX1481" s="1"/>
      <c r="ABY1481" s="1"/>
      <c r="ABZ1481" s="1"/>
      <c r="ACA1481" s="1"/>
      <c r="ACB1481" s="1"/>
      <c r="ACC1481" s="1"/>
      <c r="ACD1481" s="1"/>
      <c r="ACE1481" s="1"/>
      <c r="ACF1481" s="1"/>
      <c r="ACG1481" s="1"/>
      <c r="ACH1481" s="1"/>
      <c r="ACI1481" s="1"/>
      <c r="ACJ1481" s="1"/>
      <c r="ACK1481" s="1"/>
      <c r="ACL1481" s="1"/>
      <c r="ACM1481" s="1"/>
      <c r="ACN1481" s="1"/>
      <c r="ACO1481" s="1"/>
      <c r="ACP1481" s="1"/>
      <c r="ACQ1481" s="1"/>
      <c r="ACR1481" s="1"/>
      <c r="ACS1481" s="1"/>
      <c r="ACT1481" s="1"/>
      <c r="ACU1481" s="1"/>
      <c r="ACV1481" s="1"/>
      <c r="ACW1481" s="1"/>
      <c r="ACX1481" s="1"/>
      <c r="ACY1481" s="1"/>
      <c r="ACZ1481" s="1"/>
      <c r="ADA1481" s="1"/>
      <c r="ADB1481" s="1"/>
      <c r="ADC1481" s="1"/>
      <c r="ADD1481" s="1"/>
      <c r="ADE1481" s="1"/>
      <c r="ADF1481" s="1"/>
      <c r="ADG1481" s="1"/>
      <c r="ADH1481" s="1"/>
      <c r="ADI1481" s="1"/>
      <c r="ADJ1481" s="1"/>
      <c r="ADK1481" s="1"/>
      <c r="ADL1481" s="1"/>
      <c r="ADM1481" s="1"/>
      <c r="ADN1481" s="1"/>
      <c r="ADO1481" s="1"/>
      <c r="ADP1481" s="1"/>
      <c r="ADQ1481" s="1"/>
      <c r="ADR1481" s="1"/>
      <c r="ADS1481" s="1"/>
      <c r="ADT1481" s="1"/>
      <c r="ADU1481" s="1"/>
      <c r="ADV1481" s="1"/>
      <c r="ADW1481" s="1"/>
      <c r="ADX1481" s="1"/>
      <c r="ADY1481" s="1"/>
      <c r="ADZ1481" s="1"/>
      <c r="AEA1481" s="1"/>
      <c r="AEB1481" s="1"/>
      <c r="AEC1481" s="1"/>
      <c r="AED1481" s="1"/>
      <c r="AEE1481" s="1"/>
      <c r="AEF1481" s="1"/>
      <c r="AEG1481" s="1"/>
      <c r="AEH1481" s="1"/>
      <c r="AEI1481" s="1"/>
      <c r="AEJ1481" s="1"/>
      <c r="AEK1481" s="1"/>
      <c r="AEL1481" s="1"/>
      <c r="AEM1481" s="1"/>
      <c r="AEN1481" s="1"/>
      <c r="AEO1481" s="1"/>
      <c r="AEP1481" s="1"/>
      <c r="AEQ1481" s="1"/>
      <c r="AER1481" s="1"/>
      <c r="AES1481" s="1"/>
      <c r="AET1481" s="1"/>
      <c r="AEU1481" s="1"/>
      <c r="AEV1481" s="1"/>
      <c r="AEW1481" s="1"/>
      <c r="AEX1481" s="1"/>
      <c r="AEY1481" s="1"/>
      <c r="AEZ1481" s="1"/>
      <c r="AFA1481" s="1"/>
      <c r="AFB1481" s="1"/>
      <c r="AFC1481" s="1"/>
      <c r="AFD1481" s="1"/>
      <c r="AFE1481" s="1"/>
      <c r="AFF1481" s="1"/>
      <c r="AFG1481" s="1"/>
      <c r="AFH1481" s="1"/>
      <c r="AFI1481" s="1"/>
      <c r="AFJ1481" s="1"/>
      <c r="AFK1481" s="1"/>
      <c r="AFL1481" s="1"/>
      <c r="AFM1481" s="1"/>
      <c r="AFN1481" s="1"/>
      <c r="AFO1481" s="1"/>
      <c r="AFP1481" s="1"/>
      <c r="AFQ1481" s="1"/>
      <c r="AFR1481" s="1"/>
      <c r="AFS1481" s="1"/>
      <c r="AFT1481" s="1"/>
      <c r="AFU1481" s="1"/>
      <c r="AFV1481" s="1"/>
      <c r="AFW1481" s="1"/>
      <c r="AFX1481" s="1"/>
      <c r="AFY1481" s="1"/>
      <c r="AFZ1481" s="1"/>
      <c r="AGA1481" s="1"/>
      <c r="AGB1481" s="1"/>
      <c r="AGC1481" s="1"/>
      <c r="AGD1481" s="1"/>
      <c r="AGE1481" s="1"/>
      <c r="AGF1481" s="1"/>
      <c r="AGG1481" s="1"/>
      <c r="AGH1481" s="1"/>
      <c r="AGI1481" s="1"/>
      <c r="AGJ1481" s="1"/>
      <c r="AGK1481" s="1"/>
      <c r="AGL1481" s="1"/>
      <c r="AGM1481" s="1"/>
      <c r="AGN1481" s="1"/>
      <c r="AGO1481" s="1"/>
      <c r="AGP1481" s="1"/>
      <c r="AGQ1481" s="1"/>
      <c r="AGR1481" s="1"/>
      <c r="AGS1481" s="1"/>
      <c r="AGT1481" s="1"/>
      <c r="AGU1481" s="1"/>
      <c r="AGV1481" s="1"/>
      <c r="AGW1481" s="1"/>
      <c r="AGX1481" s="1"/>
      <c r="AGY1481" s="1"/>
      <c r="AGZ1481" s="1"/>
      <c r="AHA1481" s="1"/>
      <c r="AHB1481" s="1"/>
      <c r="AHC1481" s="1"/>
      <c r="AHD1481" s="1"/>
      <c r="AHE1481" s="1"/>
      <c r="AHF1481" s="1"/>
      <c r="AHG1481" s="1"/>
      <c r="AHH1481" s="1"/>
      <c r="AHI1481" s="1"/>
      <c r="AHJ1481" s="1"/>
      <c r="AHK1481" s="1"/>
      <c r="AHL1481" s="1"/>
      <c r="AHM1481" s="1"/>
      <c r="AHN1481" s="1"/>
      <c r="AHO1481" s="1"/>
      <c r="AHP1481" s="1"/>
      <c r="AHQ1481" s="1"/>
      <c r="AHR1481" s="1"/>
      <c r="AHS1481" s="1"/>
      <c r="AHT1481" s="1"/>
      <c r="AHU1481" s="1"/>
      <c r="AHV1481" s="1"/>
      <c r="AHW1481" s="1"/>
      <c r="AHX1481" s="1"/>
      <c r="AHY1481" s="1"/>
      <c r="AHZ1481" s="1"/>
      <c r="AIA1481" s="1"/>
      <c r="AIB1481" s="1"/>
      <c r="AIC1481" s="1"/>
      <c r="AID1481" s="1"/>
      <c r="AIE1481" s="1"/>
      <c r="AIF1481" s="1"/>
      <c r="AIG1481" s="1"/>
      <c r="AIH1481" s="1"/>
      <c r="AII1481" s="1"/>
      <c r="AIJ1481" s="1"/>
      <c r="AIK1481" s="1"/>
      <c r="AIL1481" s="1"/>
      <c r="AIM1481" s="1"/>
      <c r="AIN1481" s="1"/>
      <c r="AIO1481" s="1"/>
      <c r="AIP1481" s="1"/>
      <c r="AIQ1481" s="1"/>
      <c r="AIR1481" s="1"/>
      <c r="AIS1481" s="1"/>
      <c r="AIT1481" s="1"/>
      <c r="AIU1481" s="1"/>
      <c r="AIV1481" s="1"/>
      <c r="AIW1481" s="1"/>
      <c r="AIX1481" s="1"/>
      <c r="AIY1481" s="1"/>
      <c r="AIZ1481" s="1"/>
      <c r="AJA1481" s="1"/>
      <c r="AJB1481" s="1"/>
      <c r="AJC1481" s="1"/>
      <c r="AJD1481" s="1"/>
      <c r="AJE1481" s="1"/>
      <c r="AJF1481" s="1"/>
      <c r="AJG1481" s="1"/>
      <c r="AJH1481" s="1"/>
      <c r="AJI1481" s="1"/>
      <c r="AJJ1481" s="1"/>
      <c r="AJK1481" s="1"/>
      <c r="AJL1481" s="1"/>
      <c r="AJM1481" s="1"/>
      <c r="AJN1481" s="1"/>
      <c r="AJO1481" s="1"/>
      <c r="AJP1481" s="1"/>
      <c r="AJQ1481" s="1"/>
      <c r="AJR1481" s="1"/>
      <c r="AJS1481" s="1"/>
      <c r="AJT1481" s="1"/>
      <c r="AJU1481" s="1"/>
      <c r="AJV1481" s="1"/>
      <c r="AJW1481" s="1"/>
      <c r="AJX1481" s="1"/>
      <c r="AJY1481" s="1"/>
      <c r="AJZ1481" s="1"/>
      <c r="AKA1481" s="1"/>
      <c r="AKB1481" s="1"/>
      <c r="AKC1481" s="1"/>
      <c r="AKD1481" s="1"/>
      <c r="AKE1481" s="1"/>
      <c r="AKF1481" s="1"/>
      <c r="AKG1481" s="1"/>
      <c r="AKH1481" s="1"/>
      <c r="AKI1481" s="1"/>
      <c r="AKJ1481" s="1"/>
      <c r="AKK1481" s="1"/>
      <c r="AKL1481" s="1"/>
      <c r="AKM1481" s="1"/>
      <c r="AKN1481" s="1"/>
      <c r="AKO1481" s="1"/>
      <c r="AKP1481" s="1"/>
      <c r="AKQ1481" s="1"/>
      <c r="AKR1481" s="1"/>
      <c r="AKS1481" s="1"/>
      <c r="AKT1481" s="1"/>
      <c r="AKU1481" s="1"/>
      <c r="AKV1481" s="1"/>
      <c r="AKW1481" s="1"/>
      <c r="AKX1481" s="1"/>
      <c r="AKY1481" s="1"/>
      <c r="AKZ1481" s="1"/>
      <c r="ALA1481" s="1"/>
      <c r="ALB1481" s="1"/>
      <c r="ALC1481" s="1"/>
      <c r="ALD1481" s="1"/>
      <c r="ALE1481" s="1"/>
      <c r="ALF1481" s="1"/>
      <c r="ALG1481" s="1"/>
      <c r="ALH1481" s="1"/>
      <c r="ALI1481" s="1"/>
      <c r="ALJ1481" s="1"/>
      <c r="ALK1481" s="1"/>
      <c r="ALL1481" s="1"/>
      <c r="ALM1481" s="1"/>
      <c r="ALN1481" s="1"/>
      <c r="ALO1481" s="1"/>
      <c r="ALP1481" s="1"/>
      <c r="ALQ1481" s="1"/>
      <c r="ALR1481" s="1"/>
      <c r="ALS1481" s="1"/>
      <c r="ALT1481" s="1"/>
      <c r="ALU1481" s="1"/>
      <c r="ALV1481" s="1"/>
      <c r="ALW1481" s="1"/>
      <c r="ALX1481" s="1"/>
      <c r="ALY1481" s="1"/>
      <c r="ALZ1481" s="1"/>
      <c r="AMA1481" s="1"/>
      <c r="AMB1481" s="1"/>
      <c r="AMC1481" s="1"/>
      <c r="AMD1481" s="1"/>
      <c r="AME1481" s="1"/>
      <c r="AMF1481" s="1"/>
      <c r="AMG1481" s="1"/>
      <c r="AMH1481" s="1"/>
      <c r="AMI1481" s="1"/>
      <c r="AMJ1481" s="1"/>
      <c r="AMK1481" s="1"/>
    </row>
    <row r="1482" spans="1:1025" s="2" customFormat="1" ht="65.650000000000006" customHeight="1" x14ac:dyDescent="0.25">
      <c r="A1482" s="201"/>
      <c r="B1482" s="202"/>
      <c r="C1482" s="202"/>
      <c r="D1482" s="202"/>
      <c r="E1482" s="202"/>
      <c r="F1482" s="202"/>
      <c r="G1482" s="202"/>
      <c r="H1482" s="202"/>
      <c r="I1482" s="203"/>
      <c r="J1482" s="157" t="s">
        <v>849</v>
      </c>
      <c r="K1482" s="160">
        <f>K1401+K1413+K1414+K1415+K1420+K1422</f>
        <v>547.03800000000012</v>
      </c>
      <c r="L1482" s="924" t="s">
        <v>10</v>
      </c>
      <c r="M1482" s="160">
        <f>M1401+M1413+M1414+M1415+M1420+M1422</f>
        <v>2977.2557099999999</v>
      </c>
      <c r="N1482" s="192"/>
      <c r="O1482" s="924"/>
      <c r="P1482" s="157" t="s">
        <v>849</v>
      </c>
      <c r="Q1482" s="160"/>
      <c r="R1482" s="924"/>
      <c r="S1482" s="948"/>
      <c r="T1482" s="192"/>
      <c r="U1482" s="924"/>
      <c r="V1482" s="157" t="s">
        <v>849</v>
      </c>
      <c r="W1482" s="924"/>
      <c r="X1482" s="924"/>
      <c r="Y1482" s="924"/>
      <c r="Z1482" s="192"/>
      <c r="AA1482" s="924"/>
      <c r="AB1482" s="157" t="s">
        <v>849</v>
      </c>
      <c r="AC1482" s="924"/>
      <c r="AD1482" s="924"/>
      <c r="AE1482" s="924"/>
      <c r="AF1482" s="192"/>
      <c r="AG1482" s="924"/>
      <c r="AH1482" s="157" t="s">
        <v>849</v>
      </c>
      <c r="AI1482" s="924"/>
      <c r="AJ1482" s="924"/>
      <c r="AK1482" s="924"/>
      <c r="AL1482" s="192"/>
      <c r="AM1482" s="924"/>
      <c r="AN1482" s="157" t="s">
        <v>849</v>
      </c>
      <c r="AO1482" s="924"/>
      <c r="AP1482" s="924"/>
      <c r="AQ1482" s="924"/>
      <c r="AR1482" s="55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  <c r="EA1482" s="1"/>
      <c r="EB1482" s="1"/>
      <c r="EC1482" s="1"/>
      <c r="ED1482" s="1"/>
      <c r="EE1482" s="1"/>
      <c r="EF1482" s="1"/>
      <c r="EG1482" s="1"/>
      <c r="EH1482" s="1"/>
      <c r="EI1482" s="1"/>
      <c r="EJ1482" s="1"/>
      <c r="EK1482" s="1"/>
      <c r="EL1482" s="1"/>
      <c r="EM1482" s="1"/>
      <c r="EN1482" s="1"/>
      <c r="EO1482" s="1"/>
      <c r="EP1482" s="1"/>
      <c r="EQ1482" s="1"/>
      <c r="ER1482" s="1"/>
      <c r="ES1482" s="1"/>
      <c r="ET1482" s="1"/>
      <c r="EU1482" s="1"/>
      <c r="EV1482" s="1"/>
      <c r="EW1482" s="1"/>
      <c r="EX1482" s="1"/>
      <c r="EY1482" s="1"/>
      <c r="EZ1482" s="1"/>
      <c r="FA1482" s="1"/>
      <c r="FB1482" s="1"/>
      <c r="FC1482" s="1"/>
      <c r="FD1482" s="1"/>
      <c r="FE1482" s="1"/>
      <c r="FF1482" s="1"/>
      <c r="FG1482" s="1"/>
      <c r="FH1482" s="1"/>
      <c r="FI1482" s="1"/>
      <c r="FJ1482" s="1"/>
      <c r="FK1482" s="1"/>
      <c r="FL1482" s="1"/>
      <c r="FM1482" s="1"/>
      <c r="FN1482" s="1"/>
      <c r="FO1482" s="1"/>
      <c r="FP1482" s="1"/>
      <c r="FQ1482" s="1"/>
      <c r="FR1482" s="1"/>
      <c r="FS1482" s="1"/>
      <c r="FT1482" s="1"/>
      <c r="FU1482" s="1"/>
      <c r="FV1482" s="1"/>
      <c r="FW1482" s="1"/>
      <c r="FX1482" s="1"/>
      <c r="FY1482" s="1"/>
      <c r="FZ1482" s="1"/>
      <c r="GA1482" s="1"/>
      <c r="GB1482" s="1"/>
      <c r="GC1482" s="1"/>
      <c r="GD1482" s="1"/>
      <c r="GE1482" s="1"/>
      <c r="GF1482" s="1"/>
      <c r="GG1482" s="1"/>
      <c r="GH1482" s="1"/>
      <c r="GI1482" s="1"/>
      <c r="GJ1482" s="1"/>
      <c r="GK1482" s="1"/>
      <c r="GL1482" s="1"/>
      <c r="GM1482" s="1"/>
      <c r="GN1482" s="1"/>
      <c r="GO1482" s="1"/>
      <c r="GP1482" s="1"/>
      <c r="GQ1482" s="1"/>
      <c r="GR1482" s="1"/>
      <c r="GS1482" s="1"/>
      <c r="GT1482" s="1"/>
      <c r="GU1482" s="1"/>
      <c r="GV1482" s="1"/>
      <c r="GW1482" s="1"/>
      <c r="GX1482" s="1"/>
      <c r="GY1482" s="1"/>
      <c r="GZ1482" s="1"/>
      <c r="HA1482" s="1"/>
      <c r="HB1482" s="1"/>
      <c r="HC1482" s="1"/>
      <c r="HD1482" s="1"/>
      <c r="HE1482" s="1"/>
      <c r="HF1482" s="1"/>
      <c r="HG1482" s="1"/>
      <c r="HH1482" s="1"/>
      <c r="HI1482" s="1"/>
      <c r="HJ1482" s="1"/>
      <c r="HK1482" s="1"/>
      <c r="HL1482" s="1"/>
      <c r="HM1482" s="1"/>
      <c r="HN1482" s="1"/>
      <c r="HO1482" s="1"/>
      <c r="HP1482" s="1"/>
      <c r="HQ1482" s="1"/>
      <c r="HR1482" s="1"/>
      <c r="HS1482" s="1"/>
      <c r="HT1482" s="1"/>
      <c r="HU1482" s="1"/>
      <c r="HV1482" s="1"/>
      <c r="HW1482" s="1"/>
      <c r="HX1482" s="1"/>
      <c r="HY1482" s="1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  <c r="IU1482" s="1"/>
      <c r="IV1482" s="1"/>
      <c r="IW1482" s="1"/>
      <c r="IX1482" s="1"/>
      <c r="IY1482" s="1"/>
      <c r="IZ1482" s="1"/>
      <c r="JA1482" s="1"/>
      <c r="JB1482" s="1"/>
      <c r="JC1482" s="1"/>
      <c r="JD1482" s="1"/>
      <c r="JE1482" s="1"/>
      <c r="JF1482" s="1"/>
      <c r="JG1482" s="1"/>
      <c r="JH1482" s="1"/>
      <c r="JI1482" s="1"/>
      <c r="JJ1482" s="1"/>
      <c r="JK1482" s="1"/>
      <c r="JL1482" s="1"/>
      <c r="JM1482" s="1"/>
      <c r="JN1482" s="1"/>
      <c r="JO1482" s="1"/>
      <c r="JP1482" s="1"/>
      <c r="JQ1482" s="1"/>
      <c r="JR1482" s="1"/>
      <c r="JS1482" s="1"/>
      <c r="JT1482" s="1"/>
      <c r="JU1482" s="1"/>
      <c r="JV1482" s="1"/>
      <c r="JW1482" s="1"/>
      <c r="JX1482" s="1"/>
      <c r="JY1482" s="1"/>
      <c r="JZ1482" s="1"/>
      <c r="KA1482" s="1"/>
      <c r="KB1482" s="1"/>
      <c r="KC1482" s="1"/>
      <c r="KD1482" s="1"/>
      <c r="KE1482" s="1"/>
      <c r="KF1482" s="1"/>
      <c r="KG1482" s="1"/>
      <c r="KH1482" s="1"/>
      <c r="KI1482" s="1"/>
      <c r="KJ1482" s="1"/>
      <c r="KK1482" s="1"/>
      <c r="KL1482" s="1"/>
      <c r="KM1482" s="1"/>
      <c r="KN1482" s="1"/>
      <c r="KO1482" s="1"/>
      <c r="KP1482" s="1"/>
      <c r="KQ1482" s="1"/>
      <c r="KR1482" s="1"/>
      <c r="KS1482" s="1"/>
      <c r="KT1482" s="1"/>
      <c r="KU1482" s="1"/>
      <c r="KV1482" s="1"/>
      <c r="KW1482" s="1"/>
      <c r="KX1482" s="1"/>
      <c r="KY1482" s="1"/>
      <c r="KZ1482" s="1"/>
      <c r="LA1482" s="1"/>
      <c r="LB1482" s="1"/>
      <c r="LC1482" s="1"/>
      <c r="LD1482" s="1"/>
      <c r="LE1482" s="1"/>
      <c r="LF1482" s="1"/>
      <c r="LG1482" s="1"/>
      <c r="LH1482" s="1"/>
      <c r="LI1482" s="1"/>
      <c r="LJ1482" s="1"/>
      <c r="LK1482" s="1"/>
      <c r="LL1482" s="1"/>
      <c r="LM1482" s="1"/>
      <c r="LN1482" s="1"/>
      <c r="LO1482" s="1"/>
      <c r="LP1482" s="1"/>
      <c r="LQ1482" s="1"/>
      <c r="LR1482" s="1"/>
      <c r="LS1482" s="1"/>
      <c r="LT1482" s="1"/>
      <c r="LU1482" s="1"/>
      <c r="LV1482" s="1"/>
      <c r="LW1482" s="1"/>
      <c r="LX1482" s="1"/>
      <c r="LY1482" s="1"/>
      <c r="LZ1482" s="1"/>
      <c r="MA1482" s="1"/>
      <c r="MB1482" s="1"/>
      <c r="MC1482" s="1"/>
      <c r="MD1482" s="1"/>
      <c r="ME1482" s="1"/>
      <c r="MF1482" s="1"/>
      <c r="MG1482" s="1"/>
      <c r="MH1482" s="1"/>
      <c r="MI1482" s="1"/>
      <c r="MJ1482" s="1"/>
      <c r="MK1482" s="1"/>
      <c r="ML1482" s="1"/>
      <c r="MM1482" s="1"/>
      <c r="MN1482" s="1"/>
      <c r="MO1482" s="1"/>
      <c r="MP1482" s="1"/>
      <c r="MQ1482" s="1"/>
      <c r="MR1482" s="1"/>
      <c r="MS1482" s="1"/>
      <c r="MT1482" s="1"/>
      <c r="MU1482" s="1"/>
      <c r="MV1482" s="1"/>
      <c r="MW1482" s="1"/>
      <c r="MX1482" s="1"/>
      <c r="MY1482" s="1"/>
      <c r="MZ1482" s="1"/>
      <c r="NA1482" s="1"/>
      <c r="NB1482" s="1"/>
      <c r="NC1482" s="1"/>
      <c r="ND1482" s="1"/>
      <c r="NE1482" s="1"/>
      <c r="NF1482" s="1"/>
      <c r="NG1482" s="1"/>
      <c r="NH1482" s="1"/>
      <c r="NI1482" s="1"/>
      <c r="NJ1482" s="1"/>
      <c r="NK1482" s="1"/>
      <c r="NL1482" s="1"/>
      <c r="NM1482" s="1"/>
      <c r="NN1482" s="1"/>
      <c r="NO1482" s="1"/>
      <c r="NP1482" s="1"/>
      <c r="NQ1482" s="1"/>
      <c r="NR1482" s="1"/>
      <c r="NS1482" s="1"/>
      <c r="NT1482" s="1"/>
      <c r="NU1482" s="1"/>
      <c r="NV1482" s="1"/>
      <c r="NW1482" s="1"/>
      <c r="NX1482" s="1"/>
      <c r="NY1482" s="1"/>
      <c r="NZ1482" s="1"/>
      <c r="OA1482" s="1"/>
      <c r="OB1482" s="1"/>
      <c r="OC1482" s="1"/>
      <c r="OD1482" s="1"/>
      <c r="OE1482" s="1"/>
      <c r="OF1482" s="1"/>
      <c r="OG1482" s="1"/>
      <c r="OH1482" s="1"/>
      <c r="OI1482" s="1"/>
      <c r="OJ1482" s="1"/>
      <c r="OK1482" s="1"/>
      <c r="OL1482" s="1"/>
      <c r="OM1482" s="1"/>
      <c r="ON1482" s="1"/>
      <c r="OO1482" s="1"/>
      <c r="OP1482" s="1"/>
      <c r="OQ1482" s="1"/>
      <c r="OR1482" s="1"/>
      <c r="OS1482" s="1"/>
      <c r="OT1482" s="1"/>
      <c r="OU1482" s="1"/>
      <c r="OV1482" s="1"/>
      <c r="OW1482" s="1"/>
      <c r="OX1482" s="1"/>
      <c r="OY1482" s="1"/>
      <c r="OZ1482" s="1"/>
      <c r="PA1482" s="1"/>
      <c r="PB1482" s="1"/>
      <c r="PC1482" s="1"/>
      <c r="PD1482" s="1"/>
      <c r="PE1482" s="1"/>
      <c r="PF1482" s="1"/>
      <c r="PG1482" s="1"/>
      <c r="PH1482" s="1"/>
      <c r="PI1482" s="1"/>
      <c r="PJ1482" s="1"/>
      <c r="PK1482" s="1"/>
      <c r="PL1482" s="1"/>
      <c r="PM1482" s="1"/>
      <c r="PN1482" s="1"/>
      <c r="PO1482" s="1"/>
      <c r="PP1482" s="1"/>
      <c r="PQ1482" s="1"/>
      <c r="PR1482" s="1"/>
      <c r="PS1482" s="1"/>
      <c r="PT1482" s="1"/>
      <c r="PU1482" s="1"/>
      <c r="PV1482" s="1"/>
      <c r="PW1482" s="1"/>
      <c r="PX1482" s="1"/>
      <c r="PY1482" s="1"/>
      <c r="PZ1482" s="1"/>
      <c r="QA1482" s="1"/>
      <c r="QB1482" s="1"/>
      <c r="QC1482" s="1"/>
      <c r="QD1482" s="1"/>
      <c r="QE1482" s="1"/>
      <c r="QF1482" s="1"/>
      <c r="QG1482" s="1"/>
      <c r="QH1482" s="1"/>
      <c r="QI1482" s="1"/>
      <c r="QJ1482" s="1"/>
      <c r="QK1482" s="1"/>
      <c r="QL1482" s="1"/>
      <c r="QM1482" s="1"/>
      <c r="QN1482" s="1"/>
      <c r="QO1482" s="1"/>
      <c r="QP1482" s="1"/>
      <c r="QQ1482" s="1"/>
      <c r="QR1482" s="1"/>
      <c r="QS1482" s="1"/>
      <c r="QT1482" s="1"/>
      <c r="QU1482" s="1"/>
      <c r="QV1482" s="1"/>
      <c r="QW1482" s="1"/>
      <c r="QX1482" s="1"/>
      <c r="QY1482" s="1"/>
      <c r="QZ1482" s="1"/>
      <c r="RA1482" s="1"/>
      <c r="RB1482" s="1"/>
      <c r="RC1482" s="1"/>
      <c r="RD1482" s="1"/>
      <c r="RE1482" s="1"/>
      <c r="RF1482" s="1"/>
      <c r="RG1482" s="1"/>
      <c r="RH1482" s="1"/>
      <c r="RI1482" s="1"/>
      <c r="RJ1482" s="1"/>
      <c r="RK1482" s="1"/>
      <c r="RL1482" s="1"/>
      <c r="RM1482" s="1"/>
      <c r="RN1482" s="1"/>
      <c r="RO1482" s="1"/>
      <c r="RP1482" s="1"/>
      <c r="RQ1482" s="1"/>
      <c r="RR1482" s="1"/>
      <c r="RS1482" s="1"/>
      <c r="RT1482" s="1"/>
      <c r="RU1482" s="1"/>
      <c r="RV1482" s="1"/>
      <c r="RW1482" s="1"/>
      <c r="RX1482" s="1"/>
      <c r="RY1482" s="1"/>
      <c r="RZ1482" s="1"/>
      <c r="SA1482" s="1"/>
      <c r="SB1482" s="1"/>
      <c r="SC1482" s="1"/>
      <c r="SD1482" s="1"/>
      <c r="SE1482" s="1"/>
      <c r="SF1482" s="1"/>
      <c r="SG1482" s="1"/>
      <c r="SH1482" s="1"/>
      <c r="SI1482" s="1"/>
      <c r="SJ1482" s="1"/>
      <c r="SK1482" s="1"/>
      <c r="SL1482" s="1"/>
      <c r="SM1482" s="1"/>
      <c r="SN1482" s="1"/>
      <c r="SO1482" s="1"/>
      <c r="SP1482" s="1"/>
      <c r="SQ1482" s="1"/>
      <c r="SR1482" s="1"/>
      <c r="SS1482" s="1"/>
      <c r="ST1482" s="1"/>
      <c r="SU1482" s="1"/>
      <c r="SV1482" s="1"/>
      <c r="SW1482" s="1"/>
      <c r="SX1482" s="1"/>
      <c r="SY1482" s="1"/>
      <c r="SZ1482" s="1"/>
      <c r="TA1482" s="1"/>
      <c r="TB1482" s="1"/>
      <c r="TC1482" s="1"/>
      <c r="TD1482" s="1"/>
      <c r="TE1482" s="1"/>
      <c r="TF1482" s="1"/>
      <c r="TG1482" s="1"/>
      <c r="TH1482" s="1"/>
      <c r="TI1482" s="1"/>
      <c r="TJ1482" s="1"/>
      <c r="TK1482" s="1"/>
      <c r="TL1482" s="1"/>
      <c r="TM1482" s="1"/>
      <c r="TN1482" s="1"/>
      <c r="TO1482" s="1"/>
      <c r="TP1482" s="1"/>
      <c r="TQ1482" s="1"/>
      <c r="TR1482" s="1"/>
      <c r="TS1482" s="1"/>
      <c r="TT1482" s="1"/>
      <c r="TU1482" s="1"/>
      <c r="TV1482" s="1"/>
      <c r="TW1482" s="1"/>
      <c r="TX1482" s="1"/>
      <c r="TY1482" s="1"/>
      <c r="TZ1482" s="1"/>
      <c r="UA1482" s="1"/>
      <c r="UB1482" s="1"/>
      <c r="UC1482" s="1"/>
      <c r="UD1482" s="1"/>
      <c r="UE1482" s="1"/>
      <c r="UF1482" s="1"/>
      <c r="UG1482" s="1"/>
      <c r="UH1482" s="1"/>
      <c r="UI1482" s="1"/>
      <c r="UJ1482" s="1"/>
      <c r="UK1482" s="1"/>
      <c r="UL1482" s="1"/>
      <c r="UM1482" s="1"/>
      <c r="UN1482" s="1"/>
      <c r="UO1482" s="1"/>
      <c r="UP1482" s="1"/>
      <c r="UQ1482" s="1"/>
      <c r="UR1482" s="1"/>
      <c r="US1482" s="1"/>
      <c r="UT1482" s="1"/>
      <c r="UU1482" s="1"/>
      <c r="UV1482" s="1"/>
      <c r="UW1482" s="1"/>
      <c r="UX1482" s="1"/>
      <c r="UY1482" s="1"/>
      <c r="UZ1482" s="1"/>
      <c r="VA1482" s="1"/>
      <c r="VB1482" s="1"/>
      <c r="VC1482" s="1"/>
      <c r="VD1482" s="1"/>
      <c r="VE1482" s="1"/>
      <c r="VF1482" s="1"/>
      <c r="VG1482" s="1"/>
      <c r="VH1482" s="1"/>
      <c r="VI1482" s="1"/>
      <c r="VJ1482" s="1"/>
      <c r="VK1482" s="1"/>
      <c r="VL1482" s="1"/>
      <c r="VM1482" s="1"/>
      <c r="VN1482" s="1"/>
      <c r="VO1482" s="1"/>
      <c r="VP1482" s="1"/>
      <c r="VQ1482" s="1"/>
      <c r="VR1482" s="1"/>
      <c r="VS1482" s="1"/>
      <c r="VT1482" s="1"/>
      <c r="VU1482" s="1"/>
      <c r="VV1482" s="1"/>
      <c r="VW1482" s="1"/>
      <c r="VX1482" s="1"/>
      <c r="VY1482" s="1"/>
      <c r="VZ1482" s="1"/>
      <c r="WA1482" s="1"/>
      <c r="WB1482" s="1"/>
      <c r="WC1482" s="1"/>
      <c r="WD1482" s="1"/>
      <c r="WE1482" s="1"/>
      <c r="WF1482" s="1"/>
      <c r="WG1482" s="1"/>
      <c r="WH1482" s="1"/>
      <c r="WI1482" s="1"/>
      <c r="WJ1482" s="1"/>
      <c r="WK1482" s="1"/>
      <c r="WL1482" s="1"/>
      <c r="WM1482" s="1"/>
      <c r="WN1482" s="1"/>
      <c r="WO1482" s="1"/>
      <c r="WP1482" s="1"/>
      <c r="WQ1482" s="1"/>
      <c r="WR1482" s="1"/>
      <c r="WS1482" s="1"/>
      <c r="WT1482" s="1"/>
      <c r="WU1482" s="1"/>
      <c r="WV1482" s="1"/>
      <c r="WW1482" s="1"/>
      <c r="WX1482" s="1"/>
      <c r="WY1482" s="1"/>
      <c r="WZ1482" s="1"/>
      <c r="XA1482" s="1"/>
      <c r="XB1482" s="1"/>
      <c r="XC1482" s="1"/>
      <c r="XD1482" s="1"/>
      <c r="XE1482" s="1"/>
      <c r="XF1482" s="1"/>
      <c r="XG1482" s="1"/>
      <c r="XH1482" s="1"/>
      <c r="XI1482" s="1"/>
      <c r="XJ1482" s="1"/>
      <c r="XK1482" s="1"/>
      <c r="XL1482" s="1"/>
      <c r="XM1482" s="1"/>
      <c r="XN1482" s="1"/>
      <c r="XO1482" s="1"/>
      <c r="XP1482" s="1"/>
      <c r="XQ1482" s="1"/>
      <c r="XR1482" s="1"/>
      <c r="XS1482" s="1"/>
      <c r="XT1482" s="1"/>
      <c r="XU1482" s="1"/>
      <c r="XV1482" s="1"/>
      <c r="XW1482" s="1"/>
      <c r="XX1482" s="1"/>
      <c r="XY1482" s="1"/>
      <c r="XZ1482" s="1"/>
      <c r="YA1482" s="1"/>
      <c r="YB1482" s="1"/>
      <c r="YC1482" s="1"/>
      <c r="YD1482" s="1"/>
      <c r="YE1482" s="1"/>
      <c r="YF1482" s="1"/>
      <c r="YG1482" s="1"/>
      <c r="YH1482" s="1"/>
      <c r="YI1482" s="1"/>
      <c r="YJ1482" s="1"/>
      <c r="YK1482" s="1"/>
      <c r="YL1482" s="1"/>
      <c r="YM1482" s="1"/>
      <c r="YN1482" s="1"/>
      <c r="YO1482" s="1"/>
      <c r="YP1482" s="1"/>
      <c r="YQ1482" s="1"/>
      <c r="YR1482" s="1"/>
      <c r="YS1482" s="1"/>
      <c r="YT1482" s="1"/>
      <c r="YU1482" s="1"/>
      <c r="YV1482" s="1"/>
      <c r="YW1482" s="1"/>
      <c r="YX1482" s="1"/>
      <c r="YY1482" s="1"/>
      <c r="YZ1482" s="1"/>
      <c r="ZA1482" s="1"/>
      <c r="ZB1482" s="1"/>
      <c r="ZC1482" s="1"/>
      <c r="ZD1482" s="1"/>
      <c r="ZE1482" s="1"/>
      <c r="ZF1482" s="1"/>
      <c r="ZG1482" s="1"/>
      <c r="ZH1482" s="1"/>
      <c r="ZI1482" s="1"/>
      <c r="ZJ1482" s="1"/>
      <c r="ZK1482" s="1"/>
      <c r="ZL1482" s="1"/>
      <c r="ZM1482" s="1"/>
      <c r="ZN1482" s="1"/>
      <c r="ZO1482" s="1"/>
      <c r="ZP1482" s="1"/>
      <c r="ZQ1482" s="1"/>
      <c r="ZR1482" s="1"/>
      <c r="ZS1482" s="1"/>
      <c r="ZT1482" s="1"/>
      <c r="ZU1482" s="1"/>
      <c r="ZV1482" s="1"/>
      <c r="ZW1482" s="1"/>
      <c r="ZX1482" s="1"/>
      <c r="ZY1482" s="1"/>
      <c r="ZZ1482" s="1"/>
      <c r="AAA1482" s="1"/>
      <c r="AAB1482" s="1"/>
      <c r="AAC1482" s="1"/>
      <c r="AAD1482" s="1"/>
      <c r="AAE1482" s="1"/>
      <c r="AAF1482" s="1"/>
      <c r="AAG1482" s="1"/>
      <c r="AAH1482" s="1"/>
      <c r="AAI1482" s="1"/>
      <c r="AAJ1482" s="1"/>
      <c r="AAK1482" s="1"/>
      <c r="AAL1482" s="1"/>
      <c r="AAM1482" s="1"/>
      <c r="AAN1482" s="1"/>
      <c r="AAO1482" s="1"/>
      <c r="AAP1482" s="1"/>
      <c r="AAQ1482" s="1"/>
      <c r="AAR1482" s="1"/>
      <c r="AAS1482" s="1"/>
      <c r="AAT1482" s="1"/>
      <c r="AAU1482" s="1"/>
      <c r="AAV1482" s="1"/>
      <c r="AAW1482" s="1"/>
      <c r="AAX1482" s="1"/>
      <c r="AAY1482" s="1"/>
      <c r="AAZ1482" s="1"/>
      <c r="ABA1482" s="1"/>
      <c r="ABB1482" s="1"/>
      <c r="ABC1482" s="1"/>
      <c r="ABD1482" s="1"/>
      <c r="ABE1482" s="1"/>
      <c r="ABF1482" s="1"/>
      <c r="ABG1482" s="1"/>
      <c r="ABH1482" s="1"/>
      <c r="ABI1482" s="1"/>
      <c r="ABJ1482" s="1"/>
      <c r="ABK1482" s="1"/>
      <c r="ABL1482" s="1"/>
      <c r="ABM1482" s="1"/>
      <c r="ABN1482" s="1"/>
      <c r="ABO1482" s="1"/>
      <c r="ABP1482" s="1"/>
      <c r="ABQ1482" s="1"/>
      <c r="ABR1482" s="1"/>
      <c r="ABS1482" s="1"/>
      <c r="ABT1482" s="1"/>
      <c r="ABU1482" s="1"/>
      <c r="ABV1482" s="1"/>
      <c r="ABW1482" s="1"/>
      <c r="ABX1482" s="1"/>
      <c r="ABY1482" s="1"/>
      <c r="ABZ1482" s="1"/>
      <c r="ACA1482" s="1"/>
      <c r="ACB1482" s="1"/>
      <c r="ACC1482" s="1"/>
      <c r="ACD1482" s="1"/>
      <c r="ACE1482" s="1"/>
      <c r="ACF1482" s="1"/>
      <c r="ACG1482" s="1"/>
      <c r="ACH1482" s="1"/>
      <c r="ACI1482" s="1"/>
      <c r="ACJ1482" s="1"/>
      <c r="ACK1482" s="1"/>
      <c r="ACL1482" s="1"/>
      <c r="ACM1482" s="1"/>
      <c r="ACN1482" s="1"/>
      <c r="ACO1482" s="1"/>
      <c r="ACP1482" s="1"/>
      <c r="ACQ1482" s="1"/>
      <c r="ACR1482" s="1"/>
      <c r="ACS1482" s="1"/>
      <c r="ACT1482" s="1"/>
      <c r="ACU1482" s="1"/>
      <c r="ACV1482" s="1"/>
      <c r="ACW1482" s="1"/>
      <c r="ACX1482" s="1"/>
      <c r="ACY1482" s="1"/>
      <c r="ACZ1482" s="1"/>
      <c r="ADA1482" s="1"/>
      <c r="ADB1482" s="1"/>
      <c r="ADC1482" s="1"/>
      <c r="ADD1482" s="1"/>
      <c r="ADE1482" s="1"/>
      <c r="ADF1482" s="1"/>
      <c r="ADG1482" s="1"/>
      <c r="ADH1482" s="1"/>
      <c r="ADI1482" s="1"/>
      <c r="ADJ1482" s="1"/>
      <c r="ADK1482" s="1"/>
      <c r="ADL1482" s="1"/>
      <c r="ADM1482" s="1"/>
      <c r="ADN1482" s="1"/>
      <c r="ADO1482" s="1"/>
      <c r="ADP1482" s="1"/>
      <c r="ADQ1482" s="1"/>
      <c r="ADR1482" s="1"/>
      <c r="ADS1482" s="1"/>
      <c r="ADT1482" s="1"/>
      <c r="ADU1482" s="1"/>
      <c r="ADV1482" s="1"/>
      <c r="ADW1482" s="1"/>
      <c r="ADX1482" s="1"/>
      <c r="ADY1482" s="1"/>
      <c r="ADZ1482" s="1"/>
      <c r="AEA1482" s="1"/>
      <c r="AEB1482" s="1"/>
      <c r="AEC1482" s="1"/>
      <c r="AED1482" s="1"/>
      <c r="AEE1482" s="1"/>
      <c r="AEF1482" s="1"/>
      <c r="AEG1482" s="1"/>
      <c r="AEH1482" s="1"/>
      <c r="AEI1482" s="1"/>
      <c r="AEJ1482" s="1"/>
      <c r="AEK1482" s="1"/>
      <c r="AEL1482" s="1"/>
      <c r="AEM1482" s="1"/>
      <c r="AEN1482" s="1"/>
      <c r="AEO1482" s="1"/>
      <c r="AEP1482" s="1"/>
      <c r="AEQ1482" s="1"/>
      <c r="AER1482" s="1"/>
      <c r="AES1482" s="1"/>
      <c r="AET1482" s="1"/>
      <c r="AEU1482" s="1"/>
      <c r="AEV1482" s="1"/>
      <c r="AEW1482" s="1"/>
      <c r="AEX1482" s="1"/>
      <c r="AEY1482" s="1"/>
      <c r="AEZ1482" s="1"/>
      <c r="AFA1482" s="1"/>
      <c r="AFB1482" s="1"/>
      <c r="AFC1482" s="1"/>
      <c r="AFD1482" s="1"/>
      <c r="AFE1482" s="1"/>
      <c r="AFF1482" s="1"/>
      <c r="AFG1482" s="1"/>
      <c r="AFH1482" s="1"/>
      <c r="AFI1482" s="1"/>
      <c r="AFJ1482" s="1"/>
      <c r="AFK1482" s="1"/>
      <c r="AFL1482" s="1"/>
      <c r="AFM1482" s="1"/>
      <c r="AFN1482" s="1"/>
      <c r="AFO1482" s="1"/>
      <c r="AFP1482" s="1"/>
      <c r="AFQ1482" s="1"/>
      <c r="AFR1482" s="1"/>
      <c r="AFS1482" s="1"/>
      <c r="AFT1482" s="1"/>
      <c r="AFU1482" s="1"/>
      <c r="AFV1482" s="1"/>
      <c r="AFW1482" s="1"/>
      <c r="AFX1482" s="1"/>
      <c r="AFY1482" s="1"/>
      <c r="AFZ1482" s="1"/>
      <c r="AGA1482" s="1"/>
      <c r="AGB1482" s="1"/>
      <c r="AGC1482" s="1"/>
      <c r="AGD1482" s="1"/>
      <c r="AGE1482" s="1"/>
      <c r="AGF1482" s="1"/>
      <c r="AGG1482" s="1"/>
      <c r="AGH1482" s="1"/>
      <c r="AGI1482" s="1"/>
      <c r="AGJ1482" s="1"/>
      <c r="AGK1482" s="1"/>
      <c r="AGL1482" s="1"/>
      <c r="AGM1482" s="1"/>
      <c r="AGN1482" s="1"/>
      <c r="AGO1482" s="1"/>
      <c r="AGP1482" s="1"/>
      <c r="AGQ1482" s="1"/>
      <c r="AGR1482" s="1"/>
      <c r="AGS1482" s="1"/>
      <c r="AGT1482" s="1"/>
      <c r="AGU1482" s="1"/>
      <c r="AGV1482" s="1"/>
      <c r="AGW1482" s="1"/>
      <c r="AGX1482" s="1"/>
      <c r="AGY1482" s="1"/>
      <c r="AGZ1482" s="1"/>
      <c r="AHA1482" s="1"/>
      <c r="AHB1482" s="1"/>
      <c r="AHC1482" s="1"/>
      <c r="AHD1482" s="1"/>
      <c r="AHE1482" s="1"/>
      <c r="AHF1482" s="1"/>
      <c r="AHG1482" s="1"/>
      <c r="AHH1482" s="1"/>
      <c r="AHI1482" s="1"/>
      <c r="AHJ1482" s="1"/>
      <c r="AHK1482" s="1"/>
      <c r="AHL1482" s="1"/>
      <c r="AHM1482" s="1"/>
      <c r="AHN1482" s="1"/>
      <c r="AHO1482" s="1"/>
      <c r="AHP1482" s="1"/>
      <c r="AHQ1482" s="1"/>
      <c r="AHR1482" s="1"/>
      <c r="AHS1482" s="1"/>
      <c r="AHT1482" s="1"/>
      <c r="AHU1482" s="1"/>
      <c r="AHV1482" s="1"/>
      <c r="AHW1482" s="1"/>
      <c r="AHX1482" s="1"/>
      <c r="AHY1482" s="1"/>
      <c r="AHZ1482" s="1"/>
      <c r="AIA1482" s="1"/>
      <c r="AIB1482" s="1"/>
      <c r="AIC1482" s="1"/>
      <c r="AID1482" s="1"/>
      <c r="AIE1482" s="1"/>
      <c r="AIF1482" s="1"/>
      <c r="AIG1482" s="1"/>
      <c r="AIH1482" s="1"/>
      <c r="AII1482" s="1"/>
      <c r="AIJ1482" s="1"/>
      <c r="AIK1482" s="1"/>
      <c r="AIL1482" s="1"/>
      <c r="AIM1482" s="1"/>
      <c r="AIN1482" s="1"/>
      <c r="AIO1482" s="1"/>
      <c r="AIP1482" s="1"/>
      <c r="AIQ1482" s="1"/>
      <c r="AIR1482" s="1"/>
      <c r="AIS1482" s="1"/>
      <c r="AIT1482" s="1"/>
      <c r="AIU1482" s="1"/>
      <c r="AIV1482" s="1"/>
      <c r="AIW1482" s="1"/>
      <c r="AIX1482" s="1"/>
      <c r="AIY1482" s="1"/>
      <c r="AIZ1482" s="1"/>
      <c r="AJA1482" s="1"/>
      <c r="AJB1482" s="1"/>
      <c r="AJC1482" s="1"/>
      <c r="AJD1482" s="1"/>
      <c r="AJE1482" s="1"/>
      <c r="AJF1482" s="1"/>
      <c r="AJG1482" s="1"/>
      <c r="AJH1482" s="1"/>
      <c r="AJI1482" s="1"/>
      <c r="AJJ1482" s="1"/>
      <c r="AJK1482" s="1"/>
      <c r="AJL1482" s="1"/>
      <c r="AJM1482" s="1"/>
      <c r="AJN1482" s="1"/>
      <c r="AJO1482" s="1"/>
      <c r="AJP1482" s="1"/>
      <c r="AJQ1482" s="1"/>
      <c r="AJR1482" s="1"/>
      <c r="AJS1482" s="1"/>
      <c r="AJT1482" s="1"/>
      <c r="AJU1482" s="1"/>
      <c r="AJV1482" s="1"/>
      <c r="AJW1482" s="1"/>
      <c r="AJX1482" s="1"/>
      <c r="AJY1482" s="1"/>
      <c r="AJZ1482" s="1"/>
      <c r="AKA1482" s="1"/>
      <c r="AKB1482" s="1"/>
      <c r="AKC1482" s="1"/>
      <c r="AKD1482" s="1"/>
      <c r="AKE1482" s="1"/>
      <c r="AKF1482" s="1"/>
      <c r="AKG1482" s="1"/>
      <c r="AKH1482" s="1"/>
      <c r="AKI1482" s="1"/>
      <c r="AKJ1482" s="1"/>
      <c r="AKK1482" s="1"/>
      <c r="AKL1482" s="1"/>
      <c r="AKM1482" s="1"/>
      <c r="AKN1482" s="1"/>
      <c r="AKO1482" s="1"/>
      <c r="AKP1482" s="1"/>
      <c r="AKQ1482" s="1"/>
      <c r="AKR1482" s="1"/>
      <c r="AKS1482" s="1"/>
      <c r="AKT1482" s="1"/>
      <c r="AKU1482" s="1"/>
      <c r="AKV1482" s="1"/>
      <c r="AKW1482" s="1"/>
      <c r="AKX1482" s="1"/>
      <c r="AKY1482" s="1"/>
      <c r="AKZ1482" s="1"/>
      <c r="ALA1482" s="1"/>
      <c r="ALB1482" s="1"/>
      <c r="ALC1482" s="1"/>
      <c r="ALD1482" s="1"/>
      <c r="ALE1482" s="1"/>
      <c r="ALF1482" s="1"/>
      <c r="ALG1482" s="1"/>
      <c r="ALH1482" s="1"/>
      <c r="ALI1482" s="1"/>
      <c r="ALJ1482" s="1"/>
      <c r="ALK1482" s="1"/>
      <c r="ALL1482" s="1"/>
      <c r="ALM1482" s="1"/>
      <c r="ALN1482" s="1"/>
      <c r="ALO1482" s="1"/>
      <c r="ALP1482" s="1"/>
      <c r="ALQ1482" s="1"/>
      <c r="ALR1482" s="1"/>
      <c r="ALS1482" s="1"/>
      <c r="ALT1482" s="1"/>
      <c r="ALU1482" s="1"/>
      <c r="ALV1482" s="1"/>
      <c r="ALW1482" s="1"/>
      <c r="ALX1482" s="1"/>
      <c r="ALY1482" s="1"/>
      <c r="ALZ1482" s="1"/>
      <c r="AMA1482" s="1"/>
      <c r="AMB1482" s="1"/>
      <c r="AMC1482" s="1"/>
      <c r="AMD1482" s="1"/>
      <c r="AME1482" s="1"/>
      <c r="AMF1482" s="1"/>
      <c r="AMG1482" s="1"/>
      <c r="AMH1482" s="1"/>
      <c r="AMI1482" s="1"/>
      <c r="AMJ1482" s="1"/>
      <c r="AMK1482" s="1"/>
    </row>
    <row r="1483" spans="1:1025" s="2" customFormat="1" ht="45" x14ac:dyDescent="0.25">
      <c r="A1483" s="201"/>
      <c r="B1483" s="202"/>
      <c r="C1483" s="202"/>
      <c r="D1483" s="202"/>
      <c r="E1483" s="202"/>
      <c r="F1483" s="202"/>
      <c r="G1483" s="202"/>
      <c r="H1483" s="202"/>
      <c r="I1483" s="203"/>
      <c r="J1483" s="157" t="s">
        <v>9</v>
      </c>
      <c r="K1483" s="924"/>
      <c r="L1483" s="924" t="s">
        <v>10</v>
      </c>
      <c r="M1483" s="924"/>
      <c r="N1483" s="192"/>
      <c r="O1483" s="924"/>
      <c r="P1483" s="157" t="s">
        <v>9</v>
      </c>
      <c r="Q1483" s="924"/>
      <c r="R1483" s="924" t="s">
        <v>10</v>
      </c>
      <c r="S1483" s="924"/>
      <c r="T1483" s="192"/>
      <c r="U1483" s="924"/>
      <c r="V1483" s="157" t="s">
        <v>9</v>
      </c>
      <c r="W1483" s="924"/>
      <c r="X1483" s="924" t="s">
        <v>10</v>
      </c>
      <c r="Y1483" s="924"/>
      <c r="Z1483" s="192"/>
      <c r="AA1483" s="924"/>
      <c r="AB1483" s="157" t="s">
        <v>9</v>
      </c>
      <c r="AC1483" s="924"/>
      <c r="AD1483" s="924" t="s">
        <v>10</v>
      </c>
      <c r="AE1483" s="924"/>
      <c r="AF1483" s="192"/>
      <c r="AG1483" s="924"/>
      <c r="AH1483" s="157" t="s">
        <v>9</v>
      </c>
      <c r="AI1483" s="924"/>
      <c r="AJ1483" s="924" t="s">
        <v>10</v>
      </c>
      <c r="AK1483" s="924"/>
      <c r="AL1483" s="192"/>
      <c r="AM1483" s="924"/>
      <c r="AN1483" s="157" t="s">
        <v>9</v>
      </c>
      <c r="AO1483" s="924"/>
      <c r="AP1483" s="924" t="s">
        <v>10</v>
      </c>
      <c r="AQ1483" s="924"/>
      <c r="AR1483" s="55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  <c r="EA1483" s="1"/>
      <c r="EB1483" s="1"/>
      <c r="EC1483" s="1"/>
      <c r="ED1483" s="1"/>
      <c r="EE1483" s="1"/>
      <c r="EF1483" s="1"/>
      <c r="EG1483" s="1"/>
      <c r="EH1483" s="1"/>
      <c r="EI1483" s="1"/>
      <c r="EJ1483" s="1"/>
      <c r="EK1483" s="1"/>
      <c r="EL1483" s="1"/>
      <c r="EM1483" s="1"/>
      <c r="EN1483" s="1"/>
      <c r="EO1483" s="1"/>
      <c r="EP1483" s="1"/>
      <c r="EQ1483" s="1"/>
      <c r="ER1483" s="1"/>
      <c r="ES1483" s="1"/>
      <c r="ET1483" s="1"/>
      <c r="EU1483" s="1"/>
      <c r="EV1483" s="1"/>
      <c r="EW1483" s="1"/>
      <c r="EX1483" s="1"/>
      <c r="EY1483" s="1"/>
      <c r="EZ1483" s="1"/>
      <c r="FA1483" s="1"/>
      <c r="FB1483" s="1"/>
      <c r="FC1483" s="1"/>
      <c r="FD1483" s="1"/>
      <c r="FE1483" s="1"/>
      <c r="FF1483" s="1"/>
      <c r="FG1483" s="1"/>
      <c r="FH1483" s="1"/>
      <c r="FI1483" s="1"/>
      <c r="FJ1483" s="1"/>
      <c r="FK1483" s="1"/>
      <c r="FL1483" s="1"/>
      <c r="FM1483" s="1"/>
      <c r="FN1483" s="1"/>
      <c r="FO1483" s="1"/>
      <c r="FP1483" s="1"/>
      <c r="FQ1483" s="1"/>
      <c r="FR1483" s="1"/>
      <c r="FS1483" s="1"/>
      <c r="FT1483" s="1"/>
      <c r="FU1483" s="1"/>
      <c r="FV1483" s="1"/>
      <c r="FW1483" s="1"/>
      <c r="FX1483" s="1"/>
      <c r="FY1483" s="1"/>
      <c r="FZ1483" s="1"/>
      <c r="GA1483" s="1"/>
      <c r="GB1483" s="1"/>
      <c r="GC1483" s="1"/>
      <c r="GD1483" s="1"/>
      <c r="GE1483" s="1"/>
      <c r="GF1483" s="1"/>
      <c r="GG1483" s="1"/>
      <c r="GH1483" s="1"/>
      <c r="GI1483" s="1"/>
      <c r="GJ1483" s="1"/>
      <c r="GK1483" s="1"/>
      <c r="GL1483" s="1"/>
      <c r="GM1483" s="1"/>
      <c r="GN1483" s="1"/>
      <c r="GO1483" s="1"/>
      <c r="GP1483" s="1"/>
      <c r="GQ1483" s="1"/>
      <c r="GR1483" s="1"/>
      <c r="GS1483" s="1"/>
      <c r="GT1483" s="1"/>
      <c r="GU1483" s="1"/>
      <c r="GV1483" s="1"/>
      <c r="GW1483" s="1"/>
      <c r="GX1483" s="1"/>
      <c r="GY1483" s="1"/>
      <c r="GZ1483" s="1"/>
      <c r="HA1483" s="1"/>
      <c r="HB1483" s="1"/>
      <c r="HC1483" s="1"/>
      <c r="HD1483" s="1"/>
      <c r="HE1483" s="1"/>
      <c r="HF1483" s="1"/>
      <c r="HG1483" s="1"/>
      <c r="HH1483" s="1"/>
      <c r="HI1483" s="1"/>
      <c r="HJ1483" s="1"/>
      <c r="HK1483" s="1"/>
      <c r="HL1483" s="1"/>
      <c r="HM1483" s="1"/>
      <c r="HN1483" s="1"/>
      <c r="HO1483" s="1"/>
      <c r="HP1483" s="1"/>
      <c r="HQ1483" s="1"/>
      <c r="HR1483" s="1"/>
      <c r="HS1483" s="1"/>
      <c r="HT1483" s="1"/>
      <c r="HU1483" s="1"/>
      <c r="HV1483" s="1"/>
      <c r="HW1483" s="1"/>
      <c r="HX1483" s="1"/>
      <c r="HY1483" s="1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  <c r="IU1483" s="1"/>
      <c r="IV1483" s="1"/>
      <c r="IW1483" s="1"/>
      <c r="IX1483" s="1"/>
      <c r="IY1483" s="1"/>
      <c r="IZ1483" s="1"/>
      <c r="JA1483" s="1"/>
      <c r="JB1483" s="1"/>
      <c r="JC1483" s="1"/>
      <c r="JD1483" s="1"/>
      <c r="JE1483" s="1"/>
      <c r="JF1483" s="1"/>
      <c r="JG1483" s="1"/>
      <c r="JH1483" s="1"/>
      <c r="JI1483" s="1"/>
      <c r="JJ1483" s="1"/>
      <c r="JK1483" s="1"/>
      <c r="JL1483" s="1"/>
      <c r="JM1483" s="1"/>
      <c r="JN1483" s="1"/>
      <c r="JO1483" s="1"/>
      <c r="JP1483" s="1"/>
      <c r="JQ1483" s="1"/>
      <c r="JR1483" s="1"/>
      <c r="JS1483" s="1"/>
      <c r="JT1483" s="1"/>
      <c r="JU1483" s="1"/>
      <c r="JV1483" s="1"/>
      <c r="JW1483" s="1"/>
      <c r="JX1483" s="1"/>
      <c r="JY1483" s="1"/>
      <c r="JZ1483" s="1"/>
      <c r="KA1483" s="1"/>
      <c r="KB1483" s="1"/>
      <c r="KC1483" s="1"/>
      <c r="KD1483" s="1"/>
      <c r="KE1483" s="1"/>
      <c r="KF1483" s="1"/>
      <c r="KG1483" s="1"/>
      <c r="KH1483" s="1"/>
      <c r="KI1483" s="1"/>
      <c r="KJ1483" s="1"/>
      <c r="KK1483" s="1"/>
      <c r="KL1483" s="1"/>
      <c r="KM1483" s="1"/>
      <c r="KN1483" s="1"/>
      <c r="KO1483" s="1"/>
      <c r="KP1483" s="1"/>
      <c r="KQ1483" s="1"/>
      <c r="KR1483" s="1"/>
      <c r="KS1483" s="1"/>
      <c r="KT1483" s="1"/>
      <c r="KU1483" s="1"/>
      <c r="KV1483" s="1"/>
      <c r="KW1483" s="1"/>
      <c r="KX1483" s="1"/>
      <c r="KY1483" s="1"/>
      <c r="KZ1483" s="1"/>
      <c r="LA1483" s="1"/>
      <c r="LB1483" s="1"/>
      <c r="LC1483" s="1"/>
      <c r="LD1483" s="1"/>
      <c r="LE1483" s="1"/>
      <c r="LF1483" s="1"/>
      <c r="LG1483" s="1"/>
      <c r="LH1483" s="1"/>
      <c r="LI1483" s="1"/>
      <c r="LJ1483" s="1"/>
      <c r="LK1483" s="1"/>
      <c r="LL1483" s="1"/>
      <c r="LM1483" s="1"/>
      <c r="LN1483" s="1"/>
      <c r="LO1483" s="1"/>
      <c r="LP1483" s="1"/>
      <c r="LQ1483" s="1"/>
      <c r="LR1483" s="1"/>
      <c r="LS1483" s="1"/>
      <c r="LT1483" s="1"/>
      <c r="LU1483" s="1"/>
      <c r="LV1483" s="1"/>
      <c r="LW1483" s="1"/>
      <c r="LX1483" s="1"/>
      <c r="LY1483" s="1"/>
      <c r="LZ1483" s="1"/>
      <c r="MA1483" s="1"/>
      <c r="MB1483" s="1"/>
      <c r="MC1483" s="1"/>
      <c r="MD1483" s="1"/>
      <c r="ME1483" s="1"/>
      <c r="MF1483" s="1"/>
      <c r="MG1483" s="1"/>
      <c r="MH1483" s="1"/>
      <c r="MI1483" s="1"/>
      <c r="MJ1483" s="1"/>
      <c r="MK1483" s="1"/>
      <c r="ML1483" s="1"/>
      <c r="MM1483" s="1"/>
      <c r="MN1483" s="1"/>
      <c r="MO1483" s="1"/>
      <c r="MP1483" s="1"/>
      <c r="MQ1483" s="1"/>
      <c r="MR1483" s="1"/>
      <c r="MS1483" s="1"/>
      <c r="MT1483" s="1"/>
      <c r="MU1483" s="1"/>
      <c r="MV1483" s="1"/>
      <c r="MW1483" s="1"/>
      <c r="MX1483" s="1"/>
      <c r="MY1483" s="1"/>
      <c r="MZ1483" s="1"/>
      <c r="NA1483" s="1"/>
      <c r="NB1483" s="1"/>
      <c r="NC1483" s="1"/>
      <c r="ND1483" s="1"/>
      <c r="NE1483" s="1"/>
      <c r="NF1483" s="1"/>
      <c r="NG1483" s="1"/>
      <c r="NH1483" s="1"/>
      <c r="NI1483" s="1"/>
      <c r="NJ1483" s="1"/>
      <c r="NK1483" s="1"/>
      <c r="NL1483" s="1"/>
      <c r="NM1483" s="1"/>
      <c r="NN1483" s="1"/>
      <c r="NO1483" s="1"/>
      <c r="NP1483" s="1"/>
      <c r="NQ1483" s="1"/>
      <c r="NR1483" s="1"/>
      <c r="NS1483" s="1"/>
      <c r="NT1483" s="1"/>
      <c r="NU1483" s="1"/>
      <c r="NV1483" s="1"/>
      <c r="NW1483" s="1"/>
      <c r="NX1483" s="1"/>
      <c r="NY1483" s="1"/>
      <c r="NZ1483" s="1"/>
      <c r="OA1483" s="1"/>
      <c r="OB1483" s="1"/>
      <c r="OC1483" s="1"/>
      <c r="OD1483" s="1"/>
      <c r="OE1483" s="1"/>
      <c r="OF1483" s="1"/>
      <c r="OG1483" s="1"/>
      <c r="OH1483" s="1"/>
      <c r="OI1483" s="1"/>
      <c r="OJ1483" s="1"/>
      <c r="OK1483" s="1"/>
      <c r="OL1483" s="1"/>
      <c r="OM1483" s="1"/>
      <c r="ON1483" s="1"/>
      <c r="OO1483" s="1"/>
      <c r="OP1483" s="1"/>
      <c r="OQ1483" s="1"/>
      <c r="OR1483" s="1"/>
      <c r="OS1483" s="1"/>
      <c r="OT1483" s="1"/>
      <c r="OU1483" s="1"/>
      <c r="OV1483" s="1"/>
      <c r="OW1483" s="1"/>
      <c r="OX1483" s="1"/>
      <c r="OY1483" s="1"/>
      <c r="OZ1483" s="1"/>
      <c r="PA1483" s="1"/>
      <c r="PB1483" s="1"/>
      <c r="PC1483" s="1"/>
      <c r="PD1483" s="1"/>
      <c r="PE1483" s="1"/>
      <c r="PF1483" s="1"/>
      <c r="PG1483" s="1"/>
      <c r="PH1483" s="1"/>
      <c r="PI1483" s="1"/>
      <c r="PJ1483" s="1"/>
      <c r="PK1483" s="1"/>
      <c r="PL1483" s="1"/>
      <c r="PM1483" s="1"/>
      <c r="PN1483" s="1"/>
      <c r="PO1483" s="1"/>
      <c r="PP1483" s="1"/>
      <c r="PQ1483" s="1"/>
      <c r="PR1483" s="1"/>
      <c r="PS1483" s="1"/>
      <c r="PT1483" s="1"/>
      <c r="PU1483" s="1"/>
      <c r="PV1483" s="1"/>
      <c r="PW1483" s="1"/>
      <c r="PX1483" s="1"/>
      <c r="PY1483" s="1"/>
      <c r="PZ1483" s="1"/>
      <c r="QA1483" s="1"/>
      <c r="QB1483" s="1"/>
      <c r="QC1483" s="1"/>
      <c r="QD1483" s="1"/>
      <c r="QE1483" s="1"/>
      <c r="QF1483" s="1"/>
      <c r="QG1483" s="1"/>
      <c r="QH1483" s="1"/>
      <c r="QI1483" s="1"/>
      <c r="QJ1483" s="1"/>
      <c r="QK1483" s="1"/>
      <c r="QL1483" s="1"/>
      <c r="QM1483" s="1"/>
      <c r="QN1483" s="1"/>
      <c r="QO1483" s="1"/>
      <c r="QP1483" s="1"/>
      <c r="QQ1483" s="1"/>
      <c r="QR1483" s="1"/>
      <c r="QS1483" s="1"/>
      <c r="QT1483" s="1"/>
      <c r="QU1483" s="1"/>
      <c r="QV1483" s="1"/>
      <c r="QW1483" s="1"/>
      <c r="QX1483" s="1"/>
      <c r="QY1483" s="1"/>
      <c r="QZ1483" s="1"/>
      <c r="RA1483" s="1"/>
      <c r="RB1483" s="1"/>
      <c r="RC1483" s="1"/>
      <c r="RD1483" s="1"/>
      <c r="RE1483" s="1"/>
      <c r="RF1483" s="1"/>
      <c r="RG1483" s="1"/>
      <c r="RH1483" s="1"/>
      <c r="RI1483" s="1"/>
      <c r="RJ1483" s="1"/>
      <c r="RK1483" s="1"/>
      <c r="RL1483" s="1"/>
      <c r="RM1483" s="1"/>
      <c r="RN1483" s="1"/>
      <c r="RO1483" s="1"/>
      <c r="RP1483" s="1"/>
      <c r="RQ1483" s="1"/>
      <c r="RR1483" s="1"/>
      <c r="RS1483" s="1"/>
      <c r="RT1483" s="1"/>
      <c r="RU1483" s="1"/>
      <c r="RV1483" s="1"/>
      <c r="RW1483" s="1"/>
      <c r="RX1483" s="1"/>
      <c r="RY1483" s="1"/>
      <c r="RZ1483" s="1"/>
      <c r="SA1483" s="1"/>
      <c r="SB1483" s="1"/>
      <c r="SC1483" s="1"/>
      <c r="SD1483" s="1"/>
      <c r="SE1483" s="1"/>
      <c r="SF1483" s="1"/>
      <c r="SG1483" s="1"/>
      <c r="SH1483" s="1"/>
      <c r="SI1483" s="1"/>
      <c r="SJ1483" s="1"/>
      <c r="SK1483" s="1"/>
      <c r="SL1483" s="1"/>
      <c r="SM1483" s="1"/>
      <c r="SN1483" s="1"/>
      <c r="SO1483" s="1"/>
      <c r="SP1483" s="1"/>
      <c r="SQ1483" s="1"/>
      <c r="SR1483" s="1"/>
      <c r="SS1483" s="1"/>
      <c r="ST1483" s="1"/>
      <c r="SU1483" s="1"/>
      <c r="SV1483" s="1"/>
      <c r="SW1483" s="1"/>
      <c r="SX1483" s="1"/>
      <c r="SY1483" s="1"/>
      <c r="SZ1483" s="1"/>
      <c r="TA1483" s="1"/>
      <c r="TB1483" s="1"/>
      <c r="TC1483" s="1"/>
      <c r="TD1483" s="1"/>
      <c r="TE1483" s="1"/>
      <c r="TF1483" s="1"/>
      <c r="TG1483" s="1"/>
      <c r="TH1483" s="1"/>
      <c r="TI1483" s="1"/>
      <c r="TJ1483" s="1"/>
      <c r="TK1483" s="1"/>
      <c r="TL1483" s="1"/>
      <c r="TM1483" s="1"/>
      <c r="TN1483" s="1"/>
      <c r="TO1483" s="1"/>
      <c r="TP1483" s="1"/>
      <c r="TQ1483" s="1"/>
      <c r="TR1483" s="1"/>
      <c r="TS1483" s="1"/>
      <c r="TT1483" s="1"/>
      <c r="TU1483" s="1"/>
      <c r="TV1483" s="1"/>
      <c r="TW1483" s="1"/>
      <c r="TX1483" s="1"/>
      <c r="TY1483" s="1"/>
      <c r="TZ1483" s="1"/>
      <c r="UA1483" s="1"/>
      <c r="UB1483" s="1"/>
      <c r="UC1483" s="1"/>
      <c r="UD1483" s="1"/>
      <c r="UE1483" s="1"/>
      <c r="UF1483" s="1"/>
      <c r="UG1483" s="1"/>
      <c r="UH1483" s="1"/>
      <c r="UI1483" s="1"/>
      <c r="UJ1483" s="1"/>
      <c r="UK1483" s="1"/>
      <c r="UL1483" s="1"/>
      <c r="UM1483" s="1"/>
      <c r="UN1483" s="1"/>
      <c r="UO1483" s="1"/>
      <c r="UP1483" s="1"/>
      <c r="UQ1483" s="1"/>
      <c r="UR1483" s="1"/>
      <c r="US1483" s="1"/>
      <c r="UT1483" s="1"/>
      <c r="UU1483" s="1"/>
      <c r="UV1483" s="1"/>
      <c r="UW1483" s="1"/>
      <c r="UX1483" s="1"/>
      <c r="UY1483" s="1"/>
      <c r="UZ1483" s="1"/>
      <c r="VA1483" s="1"/>
      <c r="VB1483" s="1"/>
      <c r="VC1483" s="1"/>
      <c r="VD1483" s="1"/>
      <c r="VE1483" s="1"/>
      <c r="VF1483" s="1"/>
      <c r="VG1483" s="1"/>
      <c r="VH1483" s="1"/>
      <c r="VI1483" s="1"/>
      <c r="VJ1483" s="1"/>
      <c r="VK1483" s="1"/>
      <c r="VL1483" s="1"/>
      <c r="VM1483" s="1"/>
      <c r="VN1483" s="1"/>
      <c r="VO1483" s="1"/>
      <c r="VP1483" s="1"/>
      <c r="VQ1483" s="1"/>
      <c r="VR1483" s="1"/>
      <c r="VS1483" s="1"/>
      <c r="VT1483" s="1"/>
      <c r="VU1483" s="1"/>
      <c r="VV1483" s="1"/>
      <c r="VW1483" s="1"/>
      <c r="VX1483" s="1"/>
      <c r="VY1483" s="1"/>
      <c r="VZ1483" s="1"/>
      <c r="WA1483" s="1"/>
      <c r="WB1483" s="1"/>
      <c r="WC1483" s="1"/>
      <c r="WD1483" s="1"/>
      <c r="WE1483" s="1"/>
      <c r="WF1483" s="1"/>
      <c r="WG1483" s="1"/>
      <c r="WH1483" s="1"/>
      <c r="WI1483" s="1"/>
      <c r="WJ1483" s="1"/>
      <c r="WK1483" s="1"/>
      <c r="WL1483" s="1"/>
      <c r="WM1483" s="1"/>
      <c r="WN1483" s="1"/>
      <c r="WO1483" s="1"/>
      <c r="WP1483" s="1"/>
      <c r="WQ1483" s="1"/>
      <c r="WR1483" s="1"/>
      <c r="WS1483" s="1"/>
      <c r="WT1483" s="1"/>
      <c r="WU1483" s="1"/>
      <c r="WV1483" s="1"/>
      <c r="WW1483" s="1"/>
      <c r="WX1483" s="1"/>
      <c r="WY1483" s="1"/>
      <c r="WZ1483" s="1"/>
      <c r="XA1483" s="1"/>
      <c r="XB1483" s="1"/>
      <c r="XC1483" s="1"/>
      <c r="XD1483" s="1"/>
      <c r="XE1483" s="1"/>
      <c r="XF1483" s="1"/>
      <c r="XG1483" s="1"/>
      <c r="XH1483" s="1"/>
      <c r="XI1483" s="1"/>
      <c r="XJ1483" s="1"/>
      <c r="XK1483" s="1"/>
      <c r="XL1483" s="1"/>
      <c r="XM1483" s="1"/>
      <c r="XN1483" s="1"/>
      <c r="XO1483" s="1"/>
      <c r="XP1483" s="1"/>
      <c r="XQ1483" s="1"/>
      <c r="XR1483" s="1"/>
      <c r="XS1483" s="1"/>
      <c r="XT1483" s="1"/>
      <c r="XU1483" s="1"/>
      <c r="XV1483" s="1"/>
      <c r="XW1483" s="1"/>
      <c r="XX1483" s="1"/>
      <c r="XY1483" s="1"/>
      <c r="XZ1483" s="1"/>
      <c r="YA1483" s="1"/>
      <c r="YB1483" s="1"/>
      <c r="YC1483" s="1"/>
      <c r="YD1483" s="1"/>
      <c r="YE1483" s="1"/>
      <c r="YF1483" s="1"/>
      <c r="YG1483" s="1"/>
      <c r="YH1483" s="1"/>
      <c r="YI1483" s="1"/>
      <c r="YJ1483" s="1"/>
      <c r="YK1483" s="1"/>
      <c r="YL1483" s="1"/>
      <c r="YM1483" s="1"/>
      <c r="YN1483" s="1"/>
      <c r="YO1483" s="1"/>
      <c r="YP1483" s="1"/>
      <c r="YQ1483" s="1"/>
      <c r="YR1483" s="1"/>
      <c r="YS1483" s="1"/>
      <c r="YT1483" s="1"/>
      <c r="YU1483" s="1"/>
      <c r="YV1483" s="1"/>
      <c r="YW1483" s="1"/>
      <c r="YX1483" s="1"/>
      <c r="YY1483" s="1"/>
      <c r="YZ1483" s="1"/>
      <c r="ZA1483" s="1"/>
      <c r="ZB1483" s="1"/>
      <c r="ZC1483" s="1"/>
      <c r="ZD1483" s="1"/>
      <c r="ZE1483" s="1"/>
      <c r="ZF1483" s="1"/>
      <c r="ZG1483" s="1"/>
      <c r="ZH1483" s="1"/>
      <c r="ZI1483" s="1"/>
      <c r="ZJ1483" s="1"/>
      <c r="ZK1483" s="1"/>
      <c r="ZL1483" s="1"/>
      <c r="ZM1483" s="1"/>
      <c r="ZN1483" s="1"/>
      <c r="ZO1483" s="1"/>
      <c r="ZP1483" s="1"/>
      <c r="ZQ1483" s="1"/>
      <c r="ZR1483" s="1"/>
      <c r="ZS1483" s="1"/>
      <c r="ZT1483" s="1"/>
      <c r="ZU1483" s="1"/>
      <c r="ZV1483" s="1"/>
      <c r="ZW1483" s="1"/>
      <c r="ZX1483" s="1"/>
      <c r="ZY1483" s="1"/>
      <c r="ZZ1483" s="1"/>
      <c r="AAA1483" s="1"/>
      <c r="AAB1483" s="1"/>
      <c r="AAC1483" s="1"/>
      <c r="AAD1483" s="1"/>
      <c r="AAE1483" s="1"/>
      <c r="AAF1483" s="1"/>
      <c r="AAG1483" s="1"/>
      <c r="AAH1483" s="1"/>
      <c r="AAI1483" s="1"/>
      <c r="AAJ1483" s="1"/>
      <c r="AAK1483" s="1"/>
      <c r="AAL1483" s="1"/>
      <c r="AAM1483" s="1"/>
      <c r="AAN1483" s="1"/>
      <c r="AAO1483" s="1"/>
      <c r="AAP1483" s="1"/>
      <c r="AAQ1483" s="1"/>
      <c r="AAR1483" s="1"/>
      <c r="AAS1483" s="1"/>
      <c r="AAT1483" s="1"/>
      <c r="AAU1483" s="1"/>
      <c r="AAV1483" s="1"/>
      <c r="AAW1483" s="1"/>
      <c r="AAX1483" s="1"/>
      <c r="AAY1483" s="1"/>
      <c r="AAZ1483" s="1"/>
      <c r="ABA1483" s="1"/>
      <c r="ABB1483" s="1"/>
      <c r="ABC1483" s="1"/>
      <c r="ABD1483" s="1"/>
      <c r="ABE1483" s="1"/>
      <c r="ABF1483" s="1"/>
      <c r="ABG1483" s="1"/>
      <c r="ABH1483" s="1"/>
      <c r="ABI1483" s="1"/>
      <c r="ABJ1483" s="1"/>
      <c r="ABK1483" s="1"/>
      <c r="ABL1483" s="1"/>
      <c r="ABM1483" s="1"/>
      <c r="ABN1483" s="1"/>
      <c r="ABO1483" s="1"/>
      <c r="ABP1483" s="1"/>
      <c r="ABQ1483" s="1"/>
      <c r="ABR1483" s="1"/>
      <c r="ABS1483" s="1"/>
      <c r="ABT1483" s="1"/>
      <c r="ABU1483" s="1"/>
      <c r="ABV1483" s="1"/>
      <c r="ABW1483" s="1"/>
      <c r="ABX1483" s="1"/>
      <c r="ABY1483" s="1"/>
      <c r="ABZ1483" s="1"/>
      <c r="ACA1483" s="1"/>
      <c r="ACB1483" s="1"/>
      <c r="ACC1483" s="1"/>
      <c r="ACD1483" s="1"/>
      <c r="ACE1483" s="1"/>
      <c r="ACF1483" s="1"/>
      <c r="ACG1483" s="1"/>
      <c r="ACH1483" s="1"/>
      <c r="ACI1483" s="1"/>
      <c r="ACJ1483" s="1"/>
      <c r="ACK1483" s="1"/>
      <c r="ACL1483" s="1"/>
      <c r="ACM1483" s="1"/>
      <c r="ACN1483" s="1"/>
      <c r="ACO1483" s="1"/>
      <c r="ACP1483" s="1"/>
      <c r="ACQ1483" s="1"/>
      <c r="ACR1483" s="1"/>
      <c r="ACS1483" s="1"/>
      <c r="ACT1483" s="1"/>
      <c r="ACU1483" s="1"/>
      <c r="ACV1483" s="1"/>
      <c r="ACW1483" s="1"/>
      <c r="ACX1483" s="1"/>
      <c r="ACY1483" s="1"/>
      <c r="ACZ1483" s="1"/>
      <c r="ADA1483" s="1"/>
      <c r="ADB1483" s="1"/>
      <c r="ADC1483" s="1"/>
      <c r="ADD1483" s="1"/>
      <c r="ADE1483" s="1"/>
      <c r="ADF1483" s="1"/>
      <c r="ADG1483" s="1"/>
      <c r="ADH1483" s="1"/>
      <c r="ADI1483" s="1"/>
      <c r="ADJ1483" s="1"/>
      <c r="ADK1483" s="1"/>
      <c r="ADL1483" s="1"/>
      <c r="ADM1483" s="1"/>
      <c r="ADN1483" s="1"/>
      <c r="ADO1483" s="1"/>
      <c r="ADP1483" s="1"/>
      <c r="ADQ1483" s="1"/>
      <c r="ADR1483" s="1"/>
      <c r="ADS1483" s="1"/>
      <c r="ADT1483" s="1"/>
      <c r="ADU1483" s="1"/>
      <c r="ADV1483" s="1"/>
      <c r="ADW1483" s="1"/>
      <c r="ADX1483" s="1"/>
      <c r="ADY1483" s="1"/>
      <c r="ADZ1483" s="1"/>
      <c r="AEA1483" s="1"/>
      <c r="AEB1483" s="1"/>
      <c r="AEC1483" s="1"/>
      <c r="AED1483" s="1"/>
      <c r="AEE1483" s="1"/>
      <c r="AEF1483" s="1"/>
      <c r="AEG1483" s="1"/>
      <c r="AEH1483" s="1"/>
      <c r="AEI1483" s="1"/>
      <c r="AEJ1483" s="1"/>
      <c r="AEK1483" s="1"/>
      <c r="AEL1483" s="1"/>
      <c r="AEM1483" s="1"/>
      <c r="AEN1483" s="1"/>
      <c r="AEO1483" s="1"/>
      <c r="AEP1483" s="1"/>
      <c r="AEQ1483" s="1"/>
      <c r="AER1483" s="1"/>
      <c r="AES1483" s="1"/>
      <c r="AET1483" s="1"/>
      <c r="AEU1483" s="1"/>
      <c r="AEV1483" s="1"/>
      <c r="AEW1483" s="1"/>
      <c r="AEX1483" s="1"/>
      <c r="AEY1483" s="1"/>
      <c r="AEZ1483" s="1"/>
      <c r="AFA1483" s="1"/>
      <c r="AFB1483" s="1"/>
      <c r="AFC1483" s="1"/>
      <c r="AFD1483" s="1"/>
      <c r="AFE1483" s="1"/>
      <c r="AFF1483" s="1"/>
      <c r="AFG1483" s="1"/>
      <c r="AFH1483" s="1"/>
      <c r="AFI1483" s="1"/>
      <c r="AFJ1483" s="1"/>
      <c r="AFK1483" s="1"/>
      <c r="AFL1483" s="1"/>
      <c r="AFM1483" s="1"/>
      <c r="AFN1483" s="1"/>
      <c r="AFO1483" s="1"/>
      <c r="AFP1483" s="1"/>
      <c r="AFQ1483" s="1"/>
      <c r="AFR1483" s="1"/>
      <c r="AFS1483" s="1"/>
      <c r="AFT1483" s="1"/>
      <c r="AFU1483" s="1"/>
      <c r="AFV1483" s="1"/>
      <c r="AFW1483" s="1"/>
      <c r="AFX1483" s="1"/>
      <c r="AFY1483" s="1"/>
      <c r="AFZ1483" s="1"/>
      <c r="AGA1483" s="1"/>
      <c r="AGB1483" s="1"/>
      <c r="AGC1483" s="1"/>
      <c r="AGD1483" s="1"/>
      <c r="AGE1483" s="1"/>
      <c r="AGF1483" s="1"/>
      <c r="AGG1483" s="1"/>
      <c r="AGH1483" s="1"/>
      <c r="AGI1483" s="1"/>
      <c r="AGJ1483" s="1"/>
      <c r="AGK1483" s="1"/>
      <c r="AGL1483" s="1"/>
      <c r="AGM1483" s="1"/>
      <c r="AGN1483" s="1"/>
      <c r="AGO1483" s="1"/>
      <c r="AGP1483" s="1"/>
      <c r="AGQ1483" s="1"/>
      <c r="AGR1483" s="1"/>
      <c r="AGS1483" s="1"/>
      <c r="AGT1483" s="1"/>
      <c r="AGU1483" s="1"/>
      <c r="AGV1483" s="1"/>
      <c r="AGW1483" s="1"/>
      <c r="AGX1483" s="1"/>
      <c r="AGY1483" s="1"/>
      <c r="AGZ1483" s="1"/>
      <c r="AHA1483" s="1"/>
      <c r="AHB1483" s="1"/>
      <c r="AHC1483" s="1"/>
      <c r="AHD1483" s="1"/>
      <c r="AHE1483" s="1"/>
      <c r="AHF1483" s="1"/>
      <c r="AHG1483" s="1"/>
      <c r="AHH1483" s="1"/>
      <c r="AHI1483" s="1"/>
      <c r="AHJ1483" s="1"/>
      <c r="AHK1483" s="1"/>
      <c r="AHL1483" s="1"/>
      <c r="AHM1483" s="1"/>
      <c r="AHN1483" s="1"/>
      <c r="AHO1483" s="1"/>
      <c r="AHP1483" s="1"/>
      <c r="AHQ1483" s="1"/>
      <c r="AHR1483" s="1"/>
      <c r="AHS1483" s="1"/>
      <c r="AHT1483" s="1"/>
      <c r="AHU1483" s="1"/>
      <c r="AHV1483" s="1"/>
      <c r="AHW1483" s="1"/>
      <c r="AHX1483" s="1"/>
      <c r="AHY1483" s="1"/>
      <c r="AHZ1483" s="1"/>
      <c r="AIA1483" s="1"/>
      <c r="AIB1483" s="1"/>
      <c r="AIC1483" s="1"/>
      <c r="AID1483" s="1"/>
      <c r="AIE1483" s="1"/>
      <c r="AIF1483" s="1"/>
      <c r="AIG1483" s="1"/>
      <c r="AIH1483" s="1"/>
      <c r="AII1483" s="1"/>
      <c r="AIJ1483" s="1"/>
      <c r="AIK1483" s="1"/>
      <c r="AIL1483" s="1"/>
      <c r="AIM1483" s="1"/>
      <c r="AIN1483" s="1"/>
      <c r="AIO1483" s="1"/>
      <c r="AIP1483" s="1"/>
      <c r="AIQ1483" s="1"/>
      <c r="AIR1483" s="1"/>
      <c r="AIS1483" s="1"/>
      <c r="AIT1483" s="1"/>
      <c r="AIU1483" s="1"/>
      <c r="AIV1483" s="1"/>
      <c r="AIW1483" s="1"/>
      <c r="AIX1483" s="1"/>
      <c r="AIY1483" s="1"/>
      <c r="AIZ1483" s="1"/>
      <c r="AJA1483" s="1"/>
      <c r="AJB1483" s="1"/>
      <c r="AJC1483" s="1"/>
      <c r="AJD1483" s="1"/>
      <c r="AJE1483" s="1"/>
      <c r="AJF1483" s="1"/>
      <c r="AJG1483" s="1"/>
      <c r="AJH1483" s="1"/>
      <c r="AJI1483" s="1"/>
      <c r="AJJ1483" s="1"/>
      <c r="AJK1483" s="1"/>
      <c r="AJL1483" s="1"/>
      <c r="AJM1483" s="1"/>
      <c r="AJN1483" s="1"/>
      <c r="AJO1483" s="1"/>
      <c r="AJP1483" s="1"/>
      <c r="AJQ1483" s="1"/>
      <c r="AJR1483" s="1"/>
      <c r="AJS1483" s="1"/>
      <c r="AJT1483" s="1"/>
      <c r="AJU1483" s="1"/>
      <c r="AJV1483" s="1"/>
      <c r="AJW1483" s="1"/>
      <c r="AJX1483" s="1"/>
      <c r="AJY1483" s="1"/>
      <c r="AJZ1483" s="1"/>
      <c r="AKA1483" s="1"/>
      <c r="AKB1483" s="1"/>
      <c r="AKC1483" s="1"/>
      <c r="AKD1483" s="1"/>
      <c r="AKE1483" s="1"/>
      <c r="AKF1483" s="1"/>
      <c r="AKG1483" s="1"/>
      <c r="AKH1483" s="1"/>
      <c r="AKI1483" s="1"/>
      <c r="AKJ1483" s="1"/>
      <c r="AKK1483" s="1"/>
      <c r="AKL1483" s="1"/>
      <c r="AKM1483" s="1"/>
      <c r="AKN1483" s="1"/>
      <c r="AKO1483" s="1"/>
      <c r="AKP1483" s="1"/>
      <c r="AKQ1483" s="1"/>
      <c r="AKR1483" s="1"/>
      <c r="AKS1483" s="1"/>
      <c r="AKT1483" s="1"/>
      <c r="AKU1483" s="1"/>
      <c r="AKV1483" s="1"/>
      <c r="AKW1483" s="1"/>
      <c r="AKX1483" s="1"/>
      <c r="AKY1483" s="1"/>
      <c r="AKZ1483" s="1"/>
      <c r="ALA1483" s="1"/>
      <c r="ALB1483" s="1"/>
      <c r="ALC1483" s="1"/>
      <c r="ALD1483" s="1"/>
      <c r="ALE1483" s="1"/>
      <c r="ALF1483" s="1"/>
      <c r="ALG1483" s="1"/>
      <c r="ALH1483" s="1"/>
      <c r="ALI1483" s="1"/>
      <c r="ALJ1483" s="1"/>
      <c r="ALK1483" s="1"/>
      <c r="ALL1483" s="1"/>
      <c r="ALM1483" s="1"/>
      <c r="ALN1483" s="1"/>
      <c r="ALO1483" s="1"/>
      <c r="ALP1483" s="1"/>
      <c r="ALQ1483" s="1"/>
      <c r="ALR1483" s="1"/>
      <c r="ALS1483" s="1"/>
      <c r="ALT1483" s="1"/>
      <c r="ALU1483" s="1"/>
      <c r="ALV1483" s="1"/>
      <c r="ALW1483" s="1"/>
      <c r="ALX1483" s="1"/>
      <c r="ALY1483" s="1"/>
      <c r="ALZ1483" s="1"/>
      <c r="AMA1483" s="1"/>
      <c r="AMB1483" s="1"/>
      <c r="AMC1483" s="1"/>
      <c r="AMD1483" s="1"/>
      <c r="AME1483" s="1"/>
      <c r="AMF1483" s="1"/>
      <c r="AMG1483" s="1"/>
      <c r="AMH1483" s="1"/>
      <c r="AMI1483" s="1"/>
      <c r="AMJ1483" s="1"/>
      <c r="AMK1483" s="1"/>
    </row>
    <row r="1484" spans="1:1025" s="2" customFormat="1" ht="61.15" customHeight="1" x14ac:dyDescent="0.25">
      <c r="A1484" s="201"/>
      <c r="B1484" s="202"/>
      <c r="C1484" s="202"/>
      <c r="D1484" s="202"/>
      <c r="E1484" s="202"/>
      <c r="F1484" s="202"/>
      <c r="G1484" s="202"/>
      <c r="H1484" s="202"/>
      <c r="I1484" s="203"/>
      <c r="J1484" s="196" t="s">
        <v>850</v>
      </c>
      <c r="K1484" s="160">
        <f>K1404+K1405+K1406</f>
        <v>3</v>
      </c>
      <c r="L1484" s="924" t="s">
        <v>8</v>
      </c>
      <c r="M1484" s="158">
        <f>M1404</f>
        <v>389</v>
      </c>
      <c r="N1484" s="192"/>
      <c r="O1484" s="924"/>
      <c r="P1484" s="196" t="s">
        <v>850</v>
      </c>
      <c r="Q1484" s="924"/>
      <c r="R1484" s="924"/>
      <c r="S1484" s="924"/>
      <c r="T1484" s="192"/>
      <c r="U1484" s="924"/>
      <c r="V1484" s="196" t="s">
        <v>850</v>
      </c>
      <c r="W1484" s="924"/>
      <c r="X1484" s="924"/>
      <c r="Y1484" s="924"/>
      <c r="Z1484" s="192"/>
      <c r="AA1484" s="924"/>
      <c r="AB1484" s="196" t="s">
        <v>850</v>
      </c>
      <c r="AC1484" s="924"/>
      <c r="AD1484" s="924"/>
      <c r="AE1484" s="924"/>
      <c r="AF1484" s="192"/>
      <c r="AG1484" s="924"/>
      <c r="AH1484" s="196" t="s">
        <v>850</v>
      </c>
      <c r="AI1484" s="924"/>
      <c r="AJ1484" s="924"/>
      <c r="AK1484" s="924"/>
      <c r="AL1484" s="192"/>
      <c r="AM1484" s="924"/>
      <c r="AN1484" s="196" t="s">
        <v>850</v>
      </c>
      <c r="AO1484" s="924"/>
      <c r="AP1484" s="924"/>
      <c r="AQ1484" s="924"/>
      <c r="AR1484" s="55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  <c r="EA1484" s="1"/>
      <c r="EB1484" s="1"/>
      <c r="EC1484" s="1"/>
      <c r="ED1484" s="1"/>
      <c r="EE1484" s="1"/>
      <c r="EF1484" s="1"/>
      <c r="EG1484" s="1"/>
      <c r="EH1484" s="1"/>
      <c r="EI1484" s="1"/>
      <c r="EJ1484" s="1"/>
      <c r="EK1484" s="1"/>
      <c r="EL1484" s="1"/>
      <c r="EM1484" s="1"/>
      <c r="EN1484" s="1"/>
      <c r="EO1484" s="1"/>
      <c r="EP1484" s="1"/>
      <c r="EQ1484" s="1"/>
      <c r="ER1484" s="1"/>
      <c r="ES1484" s="1"/>
      <c r="ET1484" s="1"/>
      <c r="EU1484" s="1"/>
      <c r="EV1484" s="1"/>
      <c r="EW1484" s="1"/>
      <c r="EX1484" s="1"/>
      <c r="EY1484" s="1"/>
      <c r="EZ1484" s="1"/>
      <c r="FA1484" s="1"/>
      <c r="FB1484" s="1"/>
      <c r="FC1484" s="1"/>
      <c r="FD1484" s="1"/>
      <c r="FE1484" s="1"/>
      <c r="FF1484" s="1"/>
      <c r="FG1484" s="1"/>
      <c r="FH1484" s="1"/>
      <c r="FI1484" s="1"/>
      <c r="FJ1484" s="1"/>
      <c r="FK1484" s="1"/>
      <c r="FL1484" s="1"/>
      <c r="FM1484" s="1"/>
      <c r="FN1484" s="1"/>
      <c r="FO1484" s="1"/>
      <c r="FP1484" s="1"/>
      <c r="FQ1484" s="1"/>
      <c r="FR1484" s="1"/>
      <c r="FS1484" s="1"/>
      <c r="FT1484" s="1"/>
      <c r="FU1484" s="1"/>
      <c r="FV1484" s="1"/>
      <c r="FW1484" s="1"/>
      <c r="FX1484" s="1"/>
      <c r="FY1484" s="1"/>
      <c r="FZ1484" s="1"/>
      <c r="GA1484" s="1"/>
      <c r="GB1484" s="1"/>
      <c r="GC1484" s="1"/>
      <c r="GD1484" s="1"/>
      <c r="GE1484" s="1"/>
      <c r="GF1484" s="1"/>
      <c r="GG1484" s="1"/>
      <c r="GH1484" s="1"/>
      <c r="GI1484" s="1"/>
      <c r="GJ1484" s="1"/>
      <c r="GK1484" s="1"/>
      <c r="GL1484" s="1"/>
      <c r="GM1484" s="1"/>
      <c r="GN1484" s="1"/>
      <c r="GO1484" s="1"/>
      <c r="GP1484" s="1"/>
      <c r="GQ1484" s="1"/>
      <c r="GR1484" s="1"/>
      <c r="GS1484" s="1"/>
      <c r="GT1484" s="1"/>
      <c r="GU1484" s="1"/>
      <c r="GV1484" s="1"/>
      <c r="GW1484" s="1"/>
      <c r="GX1484" s="1"/>
      <c r="GY1484" s="1"/>
      <c r="GZ1484" s="1"/>
      <c r="HA1484" s="1"/>
      <c r="HB1484" s="1"/>
      <c r="HC1484" s="1"/>
      <c r="HD1484" s="1"/>
      <c r="HE1484" s="1"/>
      <c r="HF1484" s="1"/>
      <c r="HG1484" s="1"/>
      <c r="HH1484" s="1"/>
      <c r="HI1484" s="1"/>
      <c r="HJ1484" s="1"/>
      <c r="HK1484" s="1"/>
      <c r="HL1484" s="1"/>
      <c r="HM1484" s="1"/>
      <c r="HN1484" s="1"/>
      <c r="HO1484" s="1"/>
      <c r="HP1484" s="1"/>
      <c r="HQ1484" s="1"/>
      <c r="HR1484" s="1"/>
      <c r="HS1484" s="1"/>
      <c r="HT1484" s="1"/>
      <c r="HU1484" s="1"/>
      <c r="HV1484" s="1"/>
      <c r="HW1484" s="1"/>
      <c r="HX1484" s="1"/>
      <c r="HY1484" s="1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  <c r="IU1484" s="1"/>
      <c r="IV1484" s="1"/>
      <c r="IW1484" s="1"/>
      <c r="IX1484" s="1"/>
      <c r="IY1484" s="1"/>
      <c r="IZ1484" s="1"/>
      <c r="JA1484" s="1"/>
      <c r="JB1484" s="1"/>
      <c r="JC1484" s="1"/>
      <c r="JD1484" s="1"/>
      <c r="JE1484" s="1"/>
      <c r="JF1484" s="1"/>
      <c r="JG1484" s="1"/>
      <c r="JH1484" s="1"/>
      <c r="JI1484" s="1"/>
      <c r="JJ1484" s="1"/>
      <c r="JK1484" s="1"/>
      <c r="JL1484" s="1"/>
      <c r="JM1484" s="1"/>
      <c r="JN1484" s="1"/>
      <c r="JO1484" s="1"/>
      <c r="JP1484" s="1"/>
      <c r="JQ1484" s="1"/>
      <c r="JR1484" s="1"/>
      <c r="JS1484" s="1"/>
      <c r="JT1484" s="1"/>
      <c r="JU1484" s="1"/>
      <c r="JV1484" s="1"/>
      <c r="JW1484" s="1"/>
      <c r="JX1484" s="1"/>
      <c r="JY1484" s="1"/>
      <c r="JZ1484" s="1"/>
      <c r="KA1484" s="1"/>
      <c r="KB1484" s="1"/>
      <c r="KC1484" s="1"/>
      <c r="KD1484" s="1"/>
      <c r="KE1484" s="1"/>
      <c r="KF1484" s="1"/>
      <c r="KG1484" s="1"/>
      <c r="KH1484" s="1"/>
      <c r="KI1484" s="1"/>
      <c r="KJ1484" s="1"/>
      <c r="KK1484" s="1"/>
      <c r="KL1484" s="1"/>
      <c r="KM1484" s="1"/>
      <c r="KN1484" s="1"/>
      <c r="KO1484" s="1"/>
      <c r="KP1484" s="1"/>
      <c r="KQ1484" s="1"/>
      <c r="KR1484" s="1"/>
      <c r="KS1484" s="1"/>
      <c r="KT1484" s="1"/>
      <c r="KU1484" s="1"/>
      <c r="KV1484" s="1"/>
      <c r="KW1484" s="1"/>
      <c r="KX1484" s="1"/>
      <c r="KY1484" s="1"/>
      <c r="KZ1484" s="1"/>
      <c r="LA1484" s="1"/>
      <c r="LB1484" s="1"/>
      <c r="LC1484" s="1"/>
      <c r="LD1484" s="1"/>
      <c r="LE1484" s="1"/>
      <c r="LF1484" s="1"/>
      <c r="LG1484" s="1"/>
      <c r="LH1484" s="1"/>
      <c r="LI1484" s="1"/>
      <c r="LJ1484" s="1"/>
      <c r="LK1484" s="1"/>
      <c r="LL1484" s="1"/>
      <c r="LM1484" s="1"/>
      <c r="LN1484" s="1"/>
      <c r="LO1484" s="1"/>
      <c r="LP1484" s="1"/>
      <c r="LQ1484" s="1"/>
      <c r="LR1484" s="1"/>
      <c r="LS1484" s="1"/>
      <c r="LT1484" s="1"/>
      <c r="LU1484" s="1"/>
      <c r="LV1484" s="1"/>
      <c r="LW1484" s="1"/>
      <c r="LX1484" s="1"/>
      <c r="LY1484" s="1"/>
      <c r="LZ1484" s="1"/>
      <c r="MA1484" s="1"/>
      <c r="MB1484" s="1"/>
      <c r="MC1484" s="1"/>
      <c r="MD1484" s="1"/>
      <c r="ME1484" s="1"/>
      <c r="MF1484" s="1"/>
      <c r="MG1484" s="1"/>
      <c r="MH1484" s="1"/>
      <c r="MI1484" s="1"/>
      <c r="MJ1484" s="1"/>
      <c r="MK1484" s="1"/>
      <c r="ML1484" s="1"/>
      <c r="MM1484" s="1"/>
      <c r="MN1484" s="1"/>
      <c r="MO1484" s="1"/>
      <c r="MP1484" s="1"/>
      <c r="MQ1484" s="1"/>
      <c r="MR1484" s="1"/>
      <c r="MS1484" s="1"/>
      <c r="MT1484" s="1"/>
      <c r="MU1484" s="1"/>
      <c r="MV1484" s="1"/>
      <c r="MW1484" s="1"/>
      <c r="MX1484" s="1"/>
      <c r="MY1484" s="1"/>
      <c r="MZ1484" s="1"/>
      <c r="NA1484" s="1"/>
      <c r="NB1484" s="1"/>
      <c r="NC1484" s="1"/>
      <c r="ND1484" s="1"/>
      <c r="NE1484" s="1"/>
      <c r="NF1484" s="1"/>
      <c r="NG1484" s="1"/>
      <c r="NH1484" s="1"/>
      <c r="NI1484" s="1"/>
      <c r="NJ1484" s="1"/>
      <c r="NK1484" s="1"/>
      <c r="NL1484" s="1"/>
      <c r="NM1484" s="1"/>
      <c r="NN1484" s="1"/>
      <c r="NO1484" s="1"/>
      <c r="NP1484" s="1"/>
      <c r="NQ1484" s="1"/>
      <c r="NR1484" s="1"/>
      <c r="NS1484" s="1"/>
      <c r="NT1484" s="1"/>
      <c r="NU1484" s="1"/>
      <c r="NV1484" s="1"/>
      <c r="NW1484" s="1"/>
      <c r="NX1484" s="1"/>
      <c r="NY1484" s="1"/>
      <c r="NZ1484" s="1"/>
      <c r="OA1484" s="1"/>
      <c r="OB1484" s="1"/>
      <c r="OC1484" s="1"/>
      <c r="OD1484" s="1"/>
      <c r="OE1484" s="1"/>
      <c r="OF1484" s="1"/>
      <c r="OG1484" s="1"/>
      <c r="OH1484" s="1"/>
      <c r="OI1484" s="1"/>
      <c r="OJ1484" s="1"/>
      <c r="OK1484" s="1"/>
      <c r="OL1484" s="1"/>
      <c r="OM1484" s="1"/>
      <c r="ON1484" s="1"/>
      <c r="OO1484" s="1"/>
      <c r="OP1484" s="1"/>
      <c r="OQ1484" s="1"/>
      <c r="OR1484" s="1"/>
      <c r="OS1484" s="1"/>
      <c r="OT1484" s="1"/>
      <c r="OU1484" s="1"/>
      <c r="OV1484" s="1"/>
      <c r="OW1484" s="1"/>
      <c r="OX1484" s="1"/>
      <c r="OY1484" s="1"/>
      <c r="OZ1484" s="1"/>
      <c r="PA1484" s="1"/>
      <c r="PB1484" s="1"/>
      <c r="PC1484" s="1"/>
      <c r="PD1484" s="1"/>
      <c r="PE1484" s="1"/>
      <c r="PF1484" s="1"/>
      <c r="PG1484" s="1"/>
      <c r="PH1484" s="1"/>
      <c r="PI1484" s="1"/>
      <c r="PJ1484" s="1"/>
      <c r="PK1484" s="1"/>
      <c r="PL1484" s="1"/>
      <c r="PM1484" s="1"/>
      <c r="PN1484" s="1"/>
      <c r="PO1484" s="1"/>
      <c r="PP1484" s="1"/>
      <c r="PQ1484" s="1"/>
      <c r="PR1484" s="1"/>
      <c r="PS1484" s="1"/>
      <c r="PT1484" s="1"/>
      <c r="PU1484" s="1"/>
      <c r="PV1484" s="1"/>
      <c r="PW1484" s="1"/>
      <c r="PX1484" s="1"/>
      <c r="PY1484" s="1"/>
      <c r="PZ1484" s="1"/>
      <c r="QA1484" s="1"/>
      <c r="QB1484" s="1"/>
      <c r="QC1484" s="1"/>
      <c r="QD1484" s="1"/>
      <c r="QE1484" s="1"/>
      <c r="QF1484" s="1"/>
      <c r="QG1484" s="1"/>
      <c r="QH1484" s="1"/>
      <c r="QI1484" s="1"/>
      <c r="QJ1484" s="1"/>
      <c r="QK1484" s="1"/>
      <c r="QL1484" s="1"/>
      <c r="QM1484" s="1"/>
      <c r="QN1484" s="1"/>
      <c r="QO1484" s="1"/>
      <c r="QP1484" s="1"/>
      <c r="QQ1484" s="1"/>
      <c r="QR1484" s="1"/>
      <c r="QS1484" s="1"/>
      <c r="QT1484" s="1"/>
      <c r="QU1484" s="1"/>
      <c r="QV1484" s="1"/>
      <c r="QW1484" s="1"/>
      <c r="QX1484" s="1"/>
      <c r="QY1484" s="1"/>
      <c r="QZ1484" s="1"/>
      <c r="RA1484" s="1"/>
      <c r="RB1484" s="1"/>
      <c r="RC1484" s="1"/>
      <c r="RD1484" s="1"/>
      <c r="RE1484" s="1"/>
      <c r="RF1484" s="1"/>
      <c r="RG1484" s="1"/>
      <c r="RH1484" s="1"/>
      <c r="RI1484" s="1"/>
      <c r="RJ1484" s="1"/>
      <c r="RK1484" s="1"/>
      <c r="RL1484" s="1"/>
      <c r="RM1484" s="1"/>
      <c r="RN1484" s="1"/>
      <c r="RO1484" s="1"/>
      <c r="RP1484" s="1"/>
      <c r="RQ1484" s="1"/>
      <c r="RR1484" s="1"/>
      <c r="RS1484" s="1"/>
      <c r="RT1484" s="1"/>
      <c r="RU1484" s="1"/>
      <c r="RV1484" s="1"/>
      <c r="RW1484" s="1"/>
      <c r="RX1484" s="1"/>
      <c r="RY1484" s="1"/>
      <c r="RZ1484" s="1"/>
      <c r="SA1484" s="1"/>
      <c r="SB1484" s="1"/>
      <c r="SC1484" s="1"/>
      <c r="SD1484" s="1"/>
      <c r="SE1484" s="1"/>
      <c r="SF1484" s="1"/>
      <c r="SG1484" s="1"/>
      <c r="SH1484" s="1"/>
      <c r="SI1484" s="1"/>
      <c r="SJ1484" s="1"/>
      <c r="SK1484" s="1"/>
      <c r="SL1484" s="1"/>
      <c r="SM1484" s="1"/>
      <c r="SN1484" s="1"/>
      <c r="SO1484" s="1"/>
      <c r="SP1484" s="1"/>
      <c r="SQ1484" s="1"/>
      <c r="SR1484" s="1"/>
      <c r="SS1484" s="1"/>
      <c r="ST1484" s="1"/>
      <c r="SU1484" s="1"/>
      <c r="SV1484" s="1"/>
      <c r="SW1484" s="1"/>
      <c r="SX1484" s="1"/>
      <c r="SY1484" s="1"/>
      <c r="SZ1484" s="1"/>
      <c r="TA1484" s="1"/>
      <c r="TB1484" s="1"/>
      <c r="TC1484" s="1"/>
      <c r="TD1484" s="1"/>
      <c r="TE1484" s="1"/>
      <c r="TF1484" s="1"/>
      <c r="TG1484" s="1"/>
      <c r="TH1484" s="1"/>
      <c r="TI1484" s="1"/>
      <c r="TJ1484" s="1"/>
      <c r="TK1484" s="1"/>
      <c r="TL1484" s="1"/>
      <c r="TM1484" s="1"/>
      <c r="TN1484" s="1"/>
      <c r="TO1484" s="1"/>
      <c r="TP1484" s="1"/>
      <c r="TQ1484" s="1"/>
      <c r="TR1484" s="1"/>
      <c r="TS1484" s="1"/>
      <c r="TT1484" s="1"/>
      <c r="TU1484" s="1"/>
      <c r="TV1484" s="1"/>
      <c r="TW1484" s="1"/>
      <c r="TX1484" s="1"/>
      <c r="TY1484" s="1"/>
      <c r="TZ1484" s="1"/>
      <c r="UA1484" s="1"/>
      <c r="UB1484" s="1"/>
      <c r="UC1484" s="1"/>
      <c r="UD1484" s="1"/>
      <c r="UE1484" s="1"/>
      <c r="UF1484" s="1"/>
      <c r="UG1484" s="1"/>
      <c r="UH1484" s="1"/>
      <c r="UI1484" s="1"/>
      <c r="UJ1484" s="1"/>
      <c r="UK1484" s="1"/>
      <c r="UL1484" s="1"/>
      <c r="UM1484" s="1"/>
      <c r="UN1484" s="1"/>
      <c r="UO1484" s="1"/>
      <c r="UP1484" s="1"/>
      <c r="UQ1484" s="1"/>
      <c r="UR1484" s="1"/>
      <c r="US1484" s="1"/>
      <c r="UT1484" s="1"/>
      <c r="UU1484" s="1"/>
      <c r="UV1484" s="1"/>
      <c r="UW1484" s="1"/>
      <c r="UX1484" s="1"/>
      <c r="UY1484" s="1"/>
      <c r="UZ1484" s="1"/>
      <c r="VA1484" s="1"/>
      <c r="VB1484" s="1"/>
      <c r="VC1484" s="1"/>
      <c r="VD1484" s="1"/>
      <c r="VE1484" s="1"/>
      <c r="VF1484" s="1"/>
      <c r="VG1484" s="1"/>
      <c r="VH1484" s="1"/>
      <c r="VI1484" s="1"/>
      <c r="VJ1484" s="1"/>
      <c r="VK1484" s="1"/>
      <c r="VL1484" s="1"/>
      <c r="VM1484" s="1"/>
      <c r="VN1484" s="1"/>
      <c r="VO1484" s="1"/>
      <c r="VP1484" s="1"/>
      <c r="VQ1484" s="1"/>
      <c r="VR1484" s="1"/>
      <c r="VS1484" s="1"/>
      <c r="VT1484" s="1"/>
      <c r="VU1484" s="1"/>
      <c r="VV1484" s="1"/>
      <c r="VW1484" s="1"/>
      <c r="VX1484" s="1"/>
      <c r="VY1484" s="1"/>
      <c r="VZ1484" s="1"/>
      <c r="WA1484" s="1"/>
      <c r="WB1484" s="1"/>
      <c r="WC1484" s="1"/>
      <c r="WD1484" s="1"/>
      <c r="WE1484" s="1"/>
      <c r="WF1484" s="1"/>
      <c r="WG1484" s="1"/>
      <c r="WH1484" s="1"/>
      <c r="WI1484" s="1"/>
      <c r="WJ1484" s="1"/>
      <c r="WK1484" s="1"/>
      <c r="WL1484" s="1"/>
      <c r="WM1484" s="1"/>
      <c r="WN1484" s="1"/>
      <c r="WO1484" s="1"/>
      <c r="WP1484" s="1"/>
      <c r="WQ1484" s="1"/>
      <c r="WR1484" s="1"/>
      <c r="WS1484" s="1"/>
      <c r="WT1484" s="1"/>
      <c r="WU1484" s="1"/>
      <c r="WV1484" s="1"/>
      <c r="WW1484" s="1"/>
      <c r="WX1484" s="1"/>
      <c r="WY1484" s="1"/>
      <c r="WZ1484" s="1"/>
      <c r="XA1484" s="1"/>
      <c r="XB1484" s="1"/>
      <c r="XC1484" s="1"/>
      <c r="XD1484" s="1"/>
      <c r="XE1484" s="1"/>
      <c r="XF1484" s="1"/>
      <c r="XG1484" s="1"/>
      <c r="XH1484" s="1"/>
      <c r="XI1484" s="1"/>
      <c r="XJ1484" s="1"/>
      <c r="XK1484" s="1"/>
      <c r="XL1484" s="1"/>
      <c r="XM1484" s="1"/>
      <c r="XN1484" s="1"/>
      <c r="XO1484" s="1"/>
      <c r="XP1484" s="1"/>
      <c r="XQ1484" s="1"/>
      <c r="XR1484" s="1"/>
      <c r="XS1484" s="1"/>
      <c r="XT1484" s="1"/>
      <c r="XU1484" s="1"/>
      <c r="XV1484" s="1"/>
      <c r="XW1484" s="1"/>
      <c r="XX1484" s="1"/>
      <c r="XY1484" s="1"/>
      <c r="XZ1484" s="1"/>
      <c r="YA1484" s="1"/>
      <c r="YB1484" s="1"/>
      <c r="YC1484" s="1"/>
      <c r="YD1484" s="1"/>
      <c r="YE1484" s="1"/>
      <c r="YF1484" s="1"/>
      <c r="YG1484" s="1"/>
      <c r="YH1484" s="1"/>
      <c r="YI1484" s="1"/>
      <c r="YJ1484" s="1"/>
      <c r="YK1484" s="1"/>
      <c r="YL1484" s="1"/>
      <c r="YM1484" s="1"/>
      <c r="YN1484" s="1"/>
      <c r="YO1484" s="1"/>
      <c r="YP1484" s="1"/>
      <c r="YQ1484" s="1"/>
      <c r="YR1484" s="1"/>
      <c r="YS1484" s="1"/>
      <c r="YT1484" s="1"/>
      <c r="YU1484" s="1"/>
      <c r="YV1484" s="1"/>
      <c r="YW1484" s="1"/>
      <c r="YX1484" s="1"/>
      <c r="YY1484" s="1"/>
      <c r="YZ1484" s="1"/>
      <c r="ZA1484" s="1"/>
      <c r="ZB1484" s="1"/>
      <c r="ZC1484" s="1"/>
      <c r="ZD1484" s="1"/>
      <c r="ZE1484" s="1"/>
      <c r="ZF1484" s="1"/>
      <c r="ZG1484" s="1"/>
      <c r="ZH1484" s="1"/>
      <c r="ZI1484" s="1"/>
      <c r="ZJ1484" s="1"/>
      <c r="ZK1484" s="1"/>
      <c r="ZL1484" s="1"/>
      <c r="ZM1484" s="1"/>
      <c r="ZN1484" s="1"/>
      <c r="ZO1484" s="1"/>
      <c r="ZP1484" s="1"/>
      <c r="ZQ1484" s="1"/>
      <c r="ZR1484" s="1"/>
      <c r="ZS1484" s="1"/>
      <c r="ZT1484" s="1"/>
      <c r="ZU1484" s="1"/>
      <c r="ZV1484" s="1"/>
      <c r="ZW1484" s="1"/>
      <c r="ZX1484" s="1"/>
      <c r="ZY1484" s="1"/>
      <c r="ZZ1484" s="1"/>
      <c r="AAA1484" s="1"/>
      <c r="AAB1484" s="1"/>
      <c r="AAC1484" s="1"/>
      <c r="AAD1484" s="1"/>
      <c r="AAE1484" s="1"/>
      <c r="AAF1484" s="1"/>
      <c r="AAG1484" s="1"/>
      <c r="AAH1484" s="1"/>
      <c r="AAI1484" s="1"/>
      <c r="AAJ1484" s="1"/>
      <c r="AAK1484" s="1"/>
      <c r="AAL1484" s="1"/>
      <c r="AAM1484" s="1"/>
      <c r="AAN1484" s="1"/>
      <c r="AAO1484" s="1"/>
      <c r="AAP1484" s="1"/>
      <c r="AAQ1484" s="1"/>
      <c r="AAR1484" s="1"/>
      <c r="AAS1484" s="1"/>
      <c r="AAT1484" s="1"/>
      <c r="AAU1484" s="1"/>
      <c r="AAV1484" s="1"/>
      <c r="AAW1484" s="1"/>
      <c r="AAX1484" s="1"/>
      <c r="AAY1484" s="1"/>
      <c r="AAZ1484" s="1"/>
      <c r="ABA1484" s="1"/>
      <c r="ABB1484" s="1"/>
      <c r="ABC1484" s="1"/>
      <c r="ABD1484" s="1"/>
      <c r="ABE1484" s="1"/>
      <c r="ABF1484" s="1"/>
      <c r="ABG1484" s="1"/>
      <c r="ABH1484" s="1"/>
      <c r="ABI1484" s="1"/>
      <c r="ABJ1484" s="1"/>
      <c r="ABK1484" s="1"/>
      <c r="ABL1484" s="1"/>
      <c r="ABM1484" s="1"/>
      <c r="ABN1484" s="1"/>
      <c r="ABO1484" s="1"/>
      <c r="ABP1484" s="1"/>
      <c r="ABQ1484" s="1"/>
      <c r="ABR1484" s="1"/>
      <c r="ABS1484" s="1"/>
      <c r="ABT1484" s="1"/>
      <c r="ABU1484" s="1"/>
      <c r="ABV1484" s="1"/>
      <c r="ABW1484" s="1"/>
      <c r="ABX1484" s="1"/>
      <c r="ABY1484" s="1"/>
      <c r="ABZ1484" s="1"/>
      <c r="ACA1484" s="1"/>
      <c r="ACB1484" s="1"/>
      <c r="ACC1484" s="1"/>
      <c r="ACD1484" s="1"/>
      <c r="ACE1484" s="1"/>
      <c r="ACF1484" s="1"/>
      <c r="ACG1484" s="1"/>
      <c r="ACH1484" s="1"/>
      <c r="ACI1484" s="1"/>
      <c r="ACJ1484" s="1"/>
      <c r="ACK1484" s="1"/>
      <c r="ACL1484" s="1"/>
      <c r="ACM1484" s="1"/>
      <c r="ACN1484" s="1"/>
      <c r="ACO1484" s="1"/>
      <c r="ACP1484" s="1"/>
      <c r="ACQ1484" s="1"/>
      <c r="ACR1484" s="1"/>
      <c r="ACS1484" s="1"/>
      <c r="ACT1484" s="1"/>
      <c r="ACU1484" s="1"/>
      <c r="ACV1484" s="1"/>
      <c r="ACW1484" s="1"/>
      <c r="ACX1484" s="1"/>
      <c r="ACY1484" s="1"/>
      <c r="ACZ1484" s="1"/>
      <c r="ADA1484" s="1"/>
      <c r="ADB1484" s="1"/>
      <c r="ADC1484" s="1"/>
      <c r="ADD1484" s="1"/>
      <c r="ADE1484" s="1"/>
      <c r="ADF1484" s="1"/>
      <c r="ADG1484" s="1"/>
      <c r="ADH1484" s="1"/>
      <c r="ADI1484" s="1"/>
      <c r="ADJ1484" s="1"/>
      <c r="ADK1484" s="1"/>
      <c r="ADL1484" s="1"/>
      <c r="ADM1484" s="1"/>
      <c r="ADN1484" s="1"/>
      <c r="ADO1484" s="1"/>
      <c r="ADP1484" s="1"/>
      <c r="ADQ1484" s="1"/>
      <c r="ADR1484" s="1"/>
      <c r="ADS1484" s="1"/>
      <c r="ADT1484" s="1"/>
      <c r="ADU1484" s="1"/>
      <c r="ADV1484" s="1"/>
      <c r="ADW1484" s="1"/>
      <c r="ADX1484" s="1"/>
      <c r="ADY1484" s="1"/>
      <c r="ADZ1484" s="1"/>
      <c r="AEA1484" s="1"/>
      <c r="AEB1484" s="1"/>
      <c r="AEC1484" s="1"/>
      <c r="AED1484" s="1"/>
      <c r="AEE1484" s="1"/>
      <c r="AEF1484" s="1"/>
      <c r="AEG1484" s="1"/>
      <c r="AEH1484" s="1"/>
      <c r="AEI1484" s="1"/>
      <c r="AEJ1484" s="1"/>
      <c r="AEK1484" s="1"/>
      <c r="AEL1484" s="1"/>
      <c r="AEM1484" s="1"/>
      <c r="AEN1484" s="1"/>
      <c r="AEO1484" s="1"/>
      <c r="AEP1484" s="1"/>
      <c r="AEQ1484" s="1"/>
      <c r="AER1484" s="1"/>
      <c r="AES1484" s="1"/>
      <c r="AET1484" s="1"/>
      <c r="AEU1484" s="1"/>
      <c r="AEV1484" s="1"/>
      <c r="AEW1484" s="1"/>
      <c r="AEX1484" s="1"/>
      <c r="AEY1484" s="1"/>
      <c r="AEZ1484" s="1"/>
      <c r="AFA1484" s="1"/>
      <c r="AFB1484" s="1"/>
      <c r="AFC1484" s="1"/>
      <c r="AFD1484" s="1"/>
      <c r="AFE1484" s="1"/>
      <c r="AFF1484" s="1"/>
      <c r="AFG1484" s="1"/>
      <c r="AFH1484" s="1"/>
      <c r="AFI1484" s="1"/>
      <c r="AFJ1484" s="1"/>
      <c r="AFK1484" s="1"/>
      <c r="AFL1484" s="1"/>
      <c r="AFM1484" s="1"/>
      <c r="AFN1484" s="1"/>
      <c r="AFO1484" s="1"/>
      <c r="AFP1484" s="1"/>
      <c r="AFQ1484" s="1"/>
      <c r="AFR1484" s="1"/>
      <c r="AFS1484" s="1"/>
      <c r="AFT1484" s="1"/>
      <c r="AFU1484" s="1"/>
      <c r="AFV1484" s="1"/>
      <c r="AFW1484" s="1"/>
      <c r="AFX1484" s="1"/>
      <c r="AFY1484" s="1"/>
      <c r="AFZ1484" s="1"/>
      <c r="AGA1484" s="1"/>
      <c r="AGB1484" s="1"/>
      <c r="AGC1484" s="1"/>
      <c r="AGD1484" s="1"/>
      <c r="AGE1484" s="1"/>
      <c r="AGF1484" s="1"/>
      <c r="AGG1484" s="1"/>
      <c r="AGH1484" s="1"/>
      <c r="AGI1484" s="1"/>
      <c r="AGJ1484" s="1"/>
      <c r="AGK1484" s="1"/>
      <c r="AGL1484" s="1"/>
      <c r="AGM1484" s="1"/>
      <c r="AGN1484" s="1"/>
      <c r="AGO1484" s="1"/>
      <c r="AGP1484" s="1"/>
      <c r="AGQ1484" s="1"/>
      <c r="AGR1484" s="1"/>
      <c r="AGS1484" s="1"/>
      <c r="AGT1484" s="1"/>
      <c r="AGU1484" s="1"/>
      <c r="AGV1484" s="1"/>
      <c r="AGW1484" s="1"/>
      <c r="AGX1484" s="1"/>
      <c r="AGY1484" s="1"/>
      <c r="AGZ1484" s="1"/>
      <c r="AHA1484" s="1"/>
      <c r="AHB1484" s="1"/>
      <c r="AHC1484" s="1"/>
      <c r="AHD1484" s="1"/>
      <c r="AHE1484" s="1"/>
      <c r="AHF1484" s="1"/>
      <c r="AHG1484" s="1"/>
      <c r="AHH1484" s="1"/>
      <c r="AHI1484" s="1"/>
      <c r="AHJ1484" s="1"/>
      <c r="AHK1484" s="1"/>
      <c r="AHL1484" s="1"/>
      <c r="AHM1484" s="1"/>
      <c r="AHN1484" s="1"/>
      <c r="AHO1484" s="1"/>
      <c r="AHP1484" s="1"/>
      <c r="AHQ1484" s="1"/>
      <c r="AHR1484" s="1"/>
      <c r="AHS1484" s="1"/>
      <c r="AHT1484" s="1"/>
      <c r="AHU1484" s="1"/>
      <c r="AHV1484" s="1"/>
      <c r="AHW1484" s="1"/>
      <c r="AHX1484" s="1"/>
      <c r="AHY1484" s="1"/>
      <c r="AHZ1484" s="1"/>
      <c r="AIA1484" s="1"/>
      <c r="AIB1484" s="1"/>
      <c r="AIC1484" s="1"/>
      <c r="AID1484" s="1"/>
      <c r="AIE1484" s="1"/>
      <c r="AIF1484" s="1"/>
      <c r="AIG1484" s="1"/>
      <c r="AIH1484" s="1"/>
      <c r="AII1484" s="1"/>
      <c r="AIJ1484" s="1"/>
      <c r="AIK1484" s="1"/>
      <c r="AIL1484" s="1"/>
      <c r="AIM1484" s="1"/>
      <c r="AIN1484" s="1"/>
      <c r="AIO1484" s="1"/>
      <c r="AIP1484" s="1"/>
      <c r="AIQ1484" s="1"/>
      <c r="AIR1484" s="1"/>
      <c r="AIS1484" s="1"/>
      <c r="AIT1484" s="1"/>
      <c r="AIU1484" s="1"/>
      <c r="AIV1484" s="1"/>
      <c r="AIW1484" s="1"/>
      <c r="AIX1484" s="1"/>
      <c r="AIY1484" s="1"/>
      <c r="AIZ1484" s="1"/>
      <c r="AJA1484" s="1"/>
      <c r="AJB1484" s="1"/>
      <c r="AJC1484" s="1"/>
      <c r="AJD1484" s="1"/>
      <c r="AJE1484" s="1"/>
      <c r="AJF1484" s="1"/>
      <c r="AJG1484" s="1"/>
      <c r="AJH1484" s="1"/>
      <c r="AJI1484" s="1"/>
      <c r="AJJ1484" s="1"/>
      <c r="AJK1484" s="1"/>
      <c r="AJL1484" s="1"/>
      <c r="AJM1484" s="1"/>
      <c r="AJN1484" s="1"/>
      <c r="AJO1484" s="1"/>
      <c r="AJP1484" s="1"/>
      <c r="AJQ1484" s="1"/>
      <c r="AJR1484" s="1"/>
      <c r="AJS1484" s="1"/>
      <c r="AJT1484" s="1"/>
      <c r="AJU1484" s="1"/>
      <c r="AJV1484" s="1"/>
      <c r="AJW1484" s="1"/>
      <c r="AJX1484" s="1"/>
      <c r="AJY1484" s="1"/>
      <c r="AJZ1484" s="1"/>
      <c r="AKA1484" s="1"/>
      <c r="AKB1484" s="1"/>
      <c r="AKC1484" s="1"/>
      <c r="AKD1484" s="1"/>
      <c r="AKE1484" s="1"/>
      <c r="AKF1484" s="1"/>
      <c r="AKG1484" s="1"/>
      <c r="AKH1484" s="1"/>
      <c r="AKI1484" s="1"/>
      <c r="AKJ1484" s="1"/>
      <c r="AKK1484" s="1"/>
      <c r="AKL1484" s="1"/>
      <c r="AKM1484" s="1"/>
      <c r="AKN1484" s="1"/>
      <c r="AKO1484" s="1"/>
      <c r="AKP1484" s="1"/>
      <c r="AKQ1484" s="1"/>
      <c r="AKR1484" s="1"/>
      <c r="AKS1484" s="1"/>
      <c r="AKT1484" s="1"/>
      <c r="AKU1484" s="1"/>
      <c r="AKV1484" s="1"/>
      <c r="AKW1484" s="1"/>
      <c r="AKX1484" s="1"/>
      <c r="AKY1484" s="1"/>
      <c r="AKZ1484" s="1"/>
      <c r="ALA1484" s="1"/>
      <c r="ALB1484" s="1"/>
      <c r="ALC1484" s="1"/>
      <c r="ALD1484" s="1"/>
      <c r="ALE1484" s="1"/>
      <c r="ALF1484" s="1"/>
      <c r="ALG1484" s="1"/>
      <c r="ALH1484" s="1"/>
      <c r="ALI1484" s="1"/>
      <c r="ALJ1484" s="1"/>
      <c r="ALK1484" s="1"/>
      <c r="ALL1484" s="1"/>
      <c r="ALM1484" s="1"/>
      <c r="ALN1484" s="1"/>
      <c r="ALO1484" s="1"/>
      <c r="ALP1484" s="1"/>
      <c r="ALQ1484" s="1"/>
      <c r="ALR1484" s="1"/>
      <c r="ALS1484" s="1"/>
      <c r="ALT1484" s="1"/>
      <c r="ALU1484" s="1"/>
      <c r="ALV1484" s="1"/>
      <c r="ALW1484" s="1"/>
      <c r="ALX1484" s="1"/>
      <c r="ALY1484" s="1"/>
      <c r="ALZ1484" s="1"/>
      <c r="AMA1484" s="1"/>
      <c r="AMB1484" s="1"/>
      <c r="AMC1484" s="1"/>
      <c r="AMD1484" s="1"/>
      <c r="AME1484" s="1"/>
      <c r="AMF1484" s="1"/>
      <c r="AMG1484" s="1"/>
      <c r="AMH1484" s="1"/>
      <c r="AMI1484" s="1"/>
      <c r="AMJ1484" s="1"/>
      <c r="AMK1484" s="1"/>
    </row>
    <row r="1485" spans="1:1025" s="2" customFormat="1" ht="31.5" x14ac:dyDescent="0.25">
      <c r="A1485" s="201"/>
      <c r="B1485" s="202"/>
      <c r="C1485" s="202"/>
      <c r="D1485" s="202"/>
      <c r="E1485" s="202"/>
      <c r="F1485" s="202"/>
      <c r="G1485" s="202"/>
      <c r="H1485" s="202"/>
      <c r="I1485" s="203"/>
      <c r="J1485" s="197" t="s">
        <v>1011</v>
      </c>
      <c r="K1485" s="160">
        <f>K1411</f>
        <v>1</v>
      </c>
      <c r="L1485" s="924" t="s">
        <v>8</v>
      </c>
      <c r="M1485" s="158">
        <f>M1411</f>
        <v>1356.8865599999999</v>
      </c>
      <c r="N1485" s="192"/>
      <c r="O1485" s="924"/>
      <c r="P1485" s="157" t="s">
        <v>12</v>
      </c>
      <c r="Q1485" s="924"/>
      <c r="R1485" s="924"/>
      <c r="S1485" s="924"/>
      <c r="T1485" s="192"/>
      <c r="U1485" s="924"/>
      <c r="V1485" s="157" t="s">
        <v>12</v>
      </c>
      <c r="W1485" s="924"/>
      <c r="X1485" s="924"/>
      <c r="Y1485" s="924"/>
      <c r="Z1485" s="192"/>
      <c r="AA1485" s="924"/>
      <c r="AB1485" s="157" t="s">
        <v>12</v>
      </c>
      <c r="AC1485" s="924"/>
      <c r="AD1485" s="924"/>
      <c r="AE1485" s="924"/>
      <c r="AF1485" s="192"/>
      <c r="AG1485" s="924"/>
      <c r="AH1485" s="157" t="s">
        <v>12</v>
      </c>
      <c r="AI1485" s="924"/>
      <c r="AJ1485" s="924"/>
      <c r="AK1485" s="924"/>
      <c r="AL1485" s="192"/>
      <c r="AM1485" s="924"/>
      <c r="AN1485" s="157" t="s">
        <v>12</v>
      </c>
      <c r="AO1485" s="924"/>
      <c r="AP1485" s="924"/>
      <c r="AQ1485" s="924"/>
      <c r="AR1485" s="55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  <c r="EA1485" s="1"/>
      <c r="EB1485" s="1"/>
      <c r="EC1485" s="1"/>
      <c r="ED1485" s="1"/>
      <c r="EE1485" s="1"/>
      <c r="EF1485" s="1"/>
      <c r="EG1485" s="1"/>
      <c r="EH1485" s="1"/>
      <c r="EI1485" s="1"/>
      <c r="EJ1485" s="1"/>
      <c r="EK1485" s="1"/>
      <c r="EL1485" s="1"/>
      <c r="EM1485" s="1"/>
      <c r="EN1485" s="1"/>
      <c r="EO1485" s="1"/>
      <c r="EP1485" s="1"/>
      <c r="EQ1485" s="1"/>
      <c r="ER1485" s="1"/>
      <c r="ES1485" s="1"/>
      <c r="ET1485" s="1"/>
      <c r="EU1485" s="1"/>
      <c r="EV1485" s="1"/>
      <c r="EW1485" s="1"/>
      <c r="EX1485" s="1"/>
      <c r="EY1485" s="1"/>
      <c r="EZ1485" s="1"/>
      <c r="FA1485" s="1"/>
      <c r="FB1485" s="1"/>
      <c r="FC1485" s="1"/>
      <c r="FD1485" s="1"/>
      <c r="FE1485" s="1"/>
      <c r="FF1485" s="1"/>
      <c r="FG1485" s="1"/>
      <c r="FH1485" s="1"/>
      <c r="FI1485" s="1"/>
      <c r="FJ1485" s="1"/>
      <c r="FK1485" s="1"/>
      <c r="FL1485" s="1"/>
      <c r="FM1485" s="1"/>
      <c r="FN1485" s="1"/>
      <c r="FO1485" s="1"/>
      <c r="FP1485" s="1"/>
      <c r="FQ1485" s="1"/>
      <c r="FR1485" s="1"/>
      <c r="FS1485" s="1"/>
      <c r="FT1485" s="1"/>
      <c r="FU1485" s="1"/>
      <c r="FV1485" s="1"/>
      <c r="FW1485" s="1"/>
      <c r="FX1485" s="1"/>
      <c r="FY1485" s="1"/>
      <c r="FZ1485" s="1"/>
      <c r="GA1485" s="1"/>
      <c r="GB1485" s="1"/>
      <c r="GC1485" s="1"/>
      <c r="GD1485" s="1"/>
      <c r="GE1485" s="1"/>
      <c r="GF1485" s="1"/>
      <c r="GG1485" s="1"/>
      <c r="GH1485" s="1"/>
      <c r="GI1485" s="1"/>
      <c r="GJ1485" s="1"/>
      <c r="GK1485" s="1"/>
      <c r="GL1485" s="1"/>
      <c r="GM1485" s="1"/>
      <c r="GN1485" s="1"/>
      <c r="GO1485" s="1"/>
      <c r="GP1485" s="1"/>
      <c r="GQ1485" s="1"/>
      <c r="GR1485" s="1"/>
      <c r="GS1485" s="1"/>
      <c r="GT1485" s="1"/>
      <c r="GU1485" s="1"/>
      <c r="GV1485" s="1"/>
      <c r="GW1485" s="1"/>
      <c r="GX1485" s="1"/>
      <c r="GY1485" s="1"/>
      <c r="GZ1485" s="1"/>
      <c r="HA1485" s="1"/>
      <c r="HB1485" s="1"/>
      <c r="HC1485" s="1"/>
      <c r="HD1485" s="1"/>
      <c r="HE1485" s="1"/>
      <c r="HF1485" s="1"/>
      <c r="HG1485" s="1"/>
      <c r="HH1485" s="1"/>
      <c r="HI1485" s="1"/>
      <c r="HJ1485" s="1"/>
      <c r="HK1485" s="1"/>
      <c r="HL1485" s="1"/>
      <c r="HM1485" s="1"/>
      <c r="HN1485" s="1"/>
      <c r="HO1485" s="1"/>
      <c r="HP1485" s="1"/>
      <c r="HQ1485" s="1"/>
      <c r="HR1485" s="1"/>
      <c r="HS1485" s="1"/>
      <c r="HT1485" s="1"/>
      <c r="HU1485" s="1"/>
      <c r="HV1485" s="1"/>
      <c r="HW1485" s="1"/>
      <c r="HX1485" s="1"/>
      <c r="HY1485" s="1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  <c r="IU1485" s="1"/>
      <c r="IV1485" s="1"/>
      <c r="IW1485" s="1"/>
      <c r="IX1485" s="1"/>
      <c r="IY1485" s="1"/>
      <c r="IZ1485" s="1"/>
      <c r="JA1485" s="1"/>
      <c r="JB1485" s="1"/>
      <c r="JC1485" s="1"/>
      <c r="JD1485" s="1"/>
      <c r="JE1485" s="1"/>
      <c r="JF1485" s="1"/>
      <c r="JG1485" s="1"/>
      <c r="JH1485" s="1"/>
      <c r="JI1485" s="1"/>
      <c r="JJ1485" s="1"/>
      <c r="JK1485" s="1"/>
      <c r="JL1485" s="1"/>
      <c r="JM1485" s="1"/>
      <c r="JN1485" s="1"/>
      <c r="JO1485" s="1"/>
      <c r="JP1485" s="1"/>
      <c r="JQ1485" s="1"/>
      <c r="JR1485" s="1"/>
      <c r="JS1485" s="1"/>
      <c r="JT1485" s="1"/>
      <c r="JU1485" s="1"/>
      <c r="JV1485" s="1"/>
      <c r="JW1485" s="1"/>
      <c r="JX1485" s="1"/>
      <c r="JY1485" s="1"/>
      <c r="JZ1485" s="1"/>
      <c r="KA1485" s="1"/>
      <c r="KB1485" s="1"/>
      <c r="KC1485" s="1"/>
      <c r="KD1485" s="1"/>
      <c r="KE1485" s="1"/>
      <c r="KF1485" s="1"/>
      <c r="KG1485" s="1"/>
      <c r="KH1485" s="1"/>
      <c r="KI1485" s="1"/>
      <c r="KJ1485" s="1"/>
      <c r="KK1485" s="1"/>
      <c r="KL1485" s="1"/>
      <c r="KM1485" s="1"/>
      <c r="KN1485" s="1"/>
      <c r="KO1485" s="1"/>
      <c r="KP1485" s="1"/>
      <c r="KQ1485" s="1"/>
      <c r="KR1485" s="1"/>
      <c r="KS1485" s="1"/>
      <c r="KT1485" s="1"/>
      <c r="KU1485" s="1"/>
      <c r="KV1485" s="1"/>
      <c r="KW1485" s="1"/>
      <c r="KX1485" s="1"/>
      <c r="KY1485" s="1"/>
      <c r="KZ1485" s="1"/>
      <c r="LA1485" s="1"/>
      <c r="LB1485" s="1"/>
      <c r="LC1485" s="1"/>
      <c r="LD1485" s="1"/>
      <c r="LE1485" s="1"/>
      <c r="LF1485" s="1"/>
      <c r="LG1485" s="1"/>
      <c r="LH1485" s="1"/>
      <c r="LI1485" s="1"/>
      <c r="LJ1485" s="1"/>
      <c r="LK1485" s="1"/>
      <c r="LL1485" s="1"/>
      <c r="LM1485" s="1"/>
      <c r="LN1485" s="1"/>
      <c r="LO1485" s="1"/>
      <c r="LP1485" s="1"/>
      <c r="LQ1485" s="1"/>
      <c r="LR1485" s="1"/>
      <c r="LS1485" s="1"/>
      <c r="LT1485" s="1"/>
      <c r="LU1485" s="1"/>
      <c r="LV1485" s="1"/>
      <c r="LW1485" s="1"/>
      <c r="LX1485" s="1"/>
      <c r="LY1485" s="1"/>
      <c r="LZ1485" s="1"/>
      <c r="MA1485" s="1"/>
      <c r="MB1485" s="1"/>
      <c r="MC1485" s="1"/>
      <c r="MD1485" s="1"/>
      <c r="ME1485" s="1"/>
      <c r="MF1485" s="1"/>
      <c r="MG1485" s="1"/>
      <c r="MH1485" s="1"/>
      <c r="MI1485" s="1"/>
      <c r="MJ1485" s="1"/>
      <c r="MK1485" s="1"/>
      <c r="ML1485" s="1"/>
      <c r="MM1485" s="1"/>
      <c r="MN1485" s="1"/>
      <c r="MO1485" s="1"/>
      <c r="MP1485" s="1"/>
      <c r="MQ1485" s="1"/>
      <c r="MR1485" s="1"/>
      <c r="MS1485" s="1"/>
      <c r="MT1485" s="1"/>
      <c r="MU1485" s="1"/>
      <c r="MV1485" s="1"/>
      <c r="MW1485" s="1"/>
      <c r="MX1485" s="1"/>
      <c r="MY1485" s="1"/>
      <c r="MZ1485" s="1"/>
      <c r="NA1485" s="1"/>
      <c r="NB1485" s="1"/>
      <c r="NC1485" s="1"/>
      <c r="ND1485" s="1"/>
      <c r="NE1485" s="1"/>
      <c r="NF1485" s="1"/>
      <c r="NG1485" s="1"/>
      <c r="NH1485" s="1"/>
      <c r="NI1485" s="1"/>
      <c r="NJ1485" s="1"/>
      <c r="NK1485" s="1"/>
      <c r="NL1485" s="1"/>
      <c r="NM1485" s="1"/>
      <c r="NN1485" s="1"/>
      <c r="NO1485" s="1"/>
      <c r="NP1485" s="1"/>
      <c r="NQ1485" s="1"/>
      <c r="NR1485" s="1"/>
      <c r="NS1485" s="1"/>
      <c r="NT1485" s="1"/>
      <c r="NU1485" s="1"/>
      <c r="NV1485" s="1"/>
      <c r="NW1485" s="1"/>
      <c r="NX1485" s="1"/>
      <c r="NY1485" s="1"/>
      <c r="NZ1485" s="1"/>
      <c r="OA1485" s="1"/>
      <c r="OB1485" s="1"/>
      <c r="OC1485" s="1"/>
      <c r="OD1485" s="1"/>
      <c r="OE1485" s="1"/>
      <c r="OF1485" s="1"/>
      <c r="OG1485" s="1"/>
      <c r="OH1485" s="1"/>
      <c r="OI1485" s="1"/>
      <c r="OJ1485" s="1"/>
      <c r="OK1485" s="1"/>
      <c r="OL1485" s="1"/>
      <c r="OM1485" s="1"/>
      <c r="ON1485" s="1"/>
      <c r="OO1485" s="1"/>
      <c r="OP1485" s="1"/>
      <c r="OQ1485" s="1"/>
      <c r="OR1485" s="1"/>
      <c r="OS1485" s="1"/>
      <c r="OT1485" s="1"/>
      <c r="OU1485" s="1"/>
      <c r="OV1485" s="1"/>
      <c r="OW1485" s="1"/>
      <c r="OX1485" s="1"/>
      <c r="OY1485" s="1"/>
      <c r="OZ1485" s="1"/>
      <c r="PA1485" s="1"/>
      <c r="PB1485" s="1"/>
      <c r="PC1485" s="1"/>
      <c r="PD1485" s="1"/>
      <c r="PE1485" s="1"/>
      <c r="PF1485" s="1"/>
      <c r="PG1485" s="1"/>
      <c r="PH1485" s="1"/>
      <c r="PI1485" s="1"/>
      <c r="PJ1485" s="1"/>
      <c r="PK1485" s="1"/>
      <c r="PL1485" s="1"/>
      <c r="PM1485" s="1"/>
      <c r="PN1485" s="1"/>
      <c r="PO1485" s="1"/>
      <c r="PP1485" s="1"/>
      <c r="PQ1485" s="1"/>
      <c r="PR1485" s="1"/>
      <c r="PS1485" s="1"/>
      <c r="PT1485" s="1"/>
      <c r="PU1485" s="1"/>
      <c r="PV1485" s="1"/>
      <c r="PW1485" s="1"/>
      <c r="PX1485" s="1"/>
      <c r="PY1485" s="1"/>
      <c r="PZ1485" s="1"/>
      <c r="QA1485" s="1"/>
      <c r="QB1485" s="1"/>
      <c r="QC1485" s="1"/>
      <c r="QD1485" s="1"/>
      <c r="QE1485" s="1"/>
      <c r="QF1485" s="1"/>
      <c r="QG1485" s="1"/>
      <c r="QH1485" s="1"/>
      <c r="QI1485" s="1"/>
      <c r="QJ1485" s="1"/>
      <c r="QK1485" s="1"/>
      <c r="QL1485" s="1"/>
      <c r="QM1485" s="1"/>
      <c r="QN1485" s="1"/>
      <c r="QO1485" s="1"/>
      <c r="QP1485" s="1"/>
      <c r="QQ1485" s="1"/>
      <c r="QR1485" s="1"/>
      <c r="QS1485" s="1"/>
      <c r="QT1485" s="1"/>
      <c r="QU1485" s="1"/>
      <c r="QV1485" s="1"/>
      <c r="QW1485" s="1"/>
      <c r="QX1485" s="1"/>
      <c r="QY1485" s="1"/>
      <c r="QZ1485" s="1"/>
      <c r="RA1485" s="1"/>
      <c r="RB1485" s="1"/>
      <c r="RC1485" s="1"/>
      <c r="RD1485" s="1"/>
      <c r="RE1485" s="1"/>
      <c r="RF1485" s="1"/>
      <c r="RG1485" s="1"/>
      <c r="RH1485" s="1"/>
      <c r="RI1485" s="1"/>
      <c r="RJ1485" s="1"/>
      <c r="RK1485" s="1"/>
      <c r="RL1485" s="1"/>
      <c r="RM1485" s="1"/>
      <c r="RN1485" s="1"/>
      <c r="RO1485" s="1"/>
      <c r="RP1485" s="1"/>
      <c r="RQ1485" s="1"/>
      <c r="RR1485" s="1"/>
      <c r="RS1485" s="1"/>
      <c r="RT1485" s="1"/>
      <c r="RU1485" s="1"/>
      <c r="RV1485" s="1"/>
      <c r="RW1485" s="1"/>
      <c r="RX1485" s="1"/>
      <c r="RY1485" s="1"/>
      <c r="RZ1485" s="1"/>
      <c r="SA1485" s="1"/>
      <c r="SB1485" s="1"/>
      <c r="SC1485" s="1"/>
      <c r="SD1485" s="1"/>
      <c r="SE1485" s="1"/>
      <c r="SF1485" s="1"/>
      <c r="SG1485" s="1"/>
      <c r="SH1485" s="1"/>
      <c r="SI1485" s="1"/>
      <c r="SJ1485" s="1"/>
      <c r="SK1485" s="1"/>
      <c r="SL1485" s="1"/>
      <c r="SM1485" s="1"/>
      <c r="SN1485" s="1"/>
      <c r="SO1485" s="1"/>
      <c r="SP1485" s="1"/>
      <c r="SQ1485" s="1"/>
      <c r="SR1485" s="1"/>
      <c r="SS1485" s="1"/>
      <c r="ST1485" s="1"/>
      <c r="SU1485" s="1"/>
      <c r="SV1485" s="1"/>
      <c r="SW1485" s="1"/>
      <c r="SX1485" s="1"/>
      <c r="SY1485" s="1"/>
      <c r="SZ1485" s="1"/>
      <c r="TA1485" s="1"/>
      <c r="TB1485" s="1"/>
      <c r="TC1485" s="1"/>
      <c r="TD1485" s="1"/>
      <c r="TE1485" s="1"/>
      <c r="TF1485" s="1"/>
      <c r="TG1485" s="1"/>
      <c r="TH1485" s="1"/>
      <c r="TI1485" s="1"/>
      <c r="TJ1485" s="1"/>
      <c r="TK1485" s="1"/>
      <c r="TL1485" s="1"/>
      <c r="TM1485" s="1"/>
      <c r="TN1485" s="1"/>
      <c r="TO1485" s="1"/>
      <c r="TP1485" s="1"/>
      <c r="TQ1485" s="1"/>
      <c r="TR1485" s="1"/>
      <c r="TS1485" s="1"/>
      <c r="TT1485" s="1"/>
      <c r="TU1485" s="1"/>
      <c r="TV1485" s="1"/>
      <c r="TW1485" s="1"/>
      <c r="TX1485" s="1"/>
      <c r="TY1485" s="1"/>
      <c r="TZ1485" s="1"/>
      <c r="UA1485" s="1"/>
      <c r="UB1485" s="1"/>
      <c r="UC1485" s="1"/>
      <c r="UD1485" s="1"/>
      <c r="UE1485" s="1"/>
      <c r="UF1485" s="1"/>
      <c r="UG1485" s="1"/>
      <c r="UH1485" s="1"/>
      <c r="UI1485" s="1"/>
      <c r="UJ1485" s="1"/>
      <c r="UK1485" s="1"/>
      <c r="UL1485" s="1"/>
      <c r="UM1485" s="1"/>
      <c r="UN1485" s="1"/>
      <c r="UO1485" s="1"/>
      <c r="UP1485" s="1"/>
      <c r="UQ1485" s="1"/>
      <c r="UR1485" s="1"/>
      <c r="US1485" s="1"/>
      <c r="UT1485" s="1"/>
      <c r="UU1485" s="1"/>
      <c r="UV1485" s="1"/>
      <c r="UW1485" s="1"/>
      <c r="UX1485" s="1"/>
      <c r="UY1485" s="1"/>
      <c r="UZ1485" s="1"/>
      <c r="VA1485" s="1"/>
      <c r="VB1485" s="1"/>
      <c r="VC1485" s="1"/>
      <c r="VD1485" s="1"/>
      <c r="VE1485" s="1"/>
      <c r="VF1485" s="1"/>
      <c r="VG1485" s="1"/>
      <c r="VH1485" s="1"/>
      <c r="VI1485" s="1"/>
      <c r="VJ1485" s="1"/>
      <c r="VK1485" s="1"/>
      <c r="VL1485" s="1"/>
      <c r="VM1485" s="1"/>
      <c r="VN1485" s="1"/>
      <c r="VO1485" s="1"/>
      <c r="VP1485" s="1"/>
      <c r="VQ1485" s="1"/>
      <c r="VR1485" s="1"/>
      <c r="VS1485" s="1"/>
      <c r="VT1485" s="1"/>
      <c r="VU1485" s="1"/>
      <c r="VV1485" s="1"/>
      <c r="VW1485" s="1"/>
      <c r="VX1485" s="1"/>
      <c r="VY1485" s="1"/>
      <c r="VZ1485" s="1"/>
      <c r="WA1485" s="1"/>
      <c r="WB1485" s="1"/>
      <c r="WC1485" s="1"/>
      <c r="WD1485" s="1"/>
      <c r="WE1485" s="1"/>
      <c r="WF1485" s="1"/>
      <c r="WG1485" s="1"/>
      <c r="WH1485" s="1"/>
      <c r="WI1485" s="1"/>
      <c r="WJ1485" s="1"/>
      <c r="WK1485" s="1"/>
      <c r="WL1485" s="1"/>
      <c r="WM1485" s="1"/>
      <c r="WN1485" s="1"/>
      <c r="WO1485" s="1"/>
      <c r="WP1485" s="1"/>
      <c r="WQ1485" s="1"/>
      <c r="WR1485" s="1"/>
      <c r="WS1485" s="1"/>
      <c r="WT1485" s="1"/>
      <c r="WU1485" s="1"/>
      <c r="WV1485" s="1"/>
      <c r="WW1485" s="1"/>
      <c r="WX1485" s="1"/>
      <c r="WY1485" s="1"/>
      <c r="WZ1485" s="1"/>
      <c r="XA1485" s="1"/>
      <c r="XB1485" s="1"/>
      <c r="XC1485" s="1"/>
      <c r="XD1485" s="1"/>
      <c r="XE1485" s="1"/>
      <c r="XF1485" s="1"/>
      <c r="XG1485" s="1"/>
      <c r="XH1485" s="1"/>
      <c r="XI1485" s="1"/>
      <c r="XJ1485" s="1"/>
      <c r="XK1485" s="1"/>
      <c r="XL1485" s="1"/>
      <c r="XM1485" s="1"/>
      <c r="XN1485" s="1"/>
      <c r="XO1485" s="1"/>
      <c r="XP1485" s="1"/>
      <c r="XQ1485" s="1"/>
      <c r="XR1485" s="1"/>
      <c r="XS1485" s="1"/>
      <c r="XT1485" s="1"/>
      <c r="XU1485" s="1"/>
      <c r="XV1485" s="1"/>
      <c r="XW1485" s="1"/>
      <c r="XX1485" s="1"/>
      <c r="XY1485" s="1"/>
      <c r="XZ1485" s="1"/>
      <c r="YA1485" s="1"/>
      <c r="YB1485" s="1"/>
      <c r="YC1485" s="1"/>
      <c r="YD1485" s="1"/>
      <c r="YE1485" s="1"/>
      <c r="YF1485" s="1"/>
      <c r="YG1485" s="1"/>
      <c r="YH1485" s="1"/>
      <c r="YI1485" s="1"/>
      <c r="YJ1485" s="1"/>
      <c r="YK1485" s="1"/>
      <c r="YL1485" s="1"/>
      <c r="YM1485" s="1"/>
      <c r="YN1485" s="1"/>
      <c r="YO1485" s="1"/>
      <c r="YP1485" s="1"/>
      <c r="YQ1485" s="1"/>
      <c r="YR1485" s="1"/>
      <c r="YS1485" s="1"/>
      <c r="YT1485" s="1"/>
      <c r="YU1485" s="1"/>
      <c r="YV1485" s="1"/>
      <c r="YW1485" s="1"/>
      <c r="YX1485" s="1"/>
      <c r="YY1485" s="1"/>
      <c r="YZ1485" s="1"/>
      <c r="ZA1485" s="1"/>
      <c r="ZB1485" s="1"/>
      <c r="ZC1485" s="1"/>
      <c r="ZD1485" s="1"/>
      <c r="ZE1485" s="1"/>
      <c r="ZF1485" s="1"/>
      <c r="ZG1485" s="1"/>
      <c r="ZH1485" s="1"/>
      <c r="ZI1485" s="1"/>
      <c r="ZJ1485" s="1"/>
      <c r="ZK1485" s="1"/>
      <c r="ZL1485" s="1"/>
      <c r="ZM1485" s="1"/>
      <c r="ZN1485" s="1"/>
      <c r="ZO1485" s="1"/>
      <c r="ZP1485" s="1"/>
      <c r="ZQ1485" s="1"/>
      <c r="ZR1485" s="1"/>
      <c r="ZS1485" s="1"/>
      <c r="ZT1485" s="1"/>
      <c r="ZU1485" s="1"/>
      <c r="ZV1485" s="1"/>
      <c r="ZW1485" s="1"/>
      <c r="ZX1485" s="1"/>
      <c r="ZY1485" s="1"/>
      <c r="ZZ1485" s="1"/>
      <c r="AAA1485" s="1"/>
      <c r="AAB1485" s="1"/>
      <c r="AAC1485" s="1"/>
      <c r="AAD1485" s="1"/>
      <c r="AAE1485" s="1"/>
      <c r="AAF1485" s="1"/>
      <c r="AAG1485" s="1"/>
      <c r="AAH1485" s="1"/>
      <c r="AAI1485" s="1"/>
      <c r="AAJ1485" s="1"/>
      <c r="AAK1485" s="1"/>
      <c r="AAL1485" s="1"/>
      <c r="AAM1485" s="1"/>
      <c r="AAN1485" s="1"/>
      <c r="AAO1485" s="1"/>
      <c r="AAP1485" s="1"/>
      <c r="AAQ1485" s="1"/>
      <c r="AAR1485" s="1"/>
      <c r="AAS1485" s="1"/>
      <c r="AAT1485" s="1"/>
      <c r="AAU1485" s="1"/>
      <c r="AAV1485" s="1"/>
      <c r="AAW1485" s="1"/>
      <c r="AAX1485" s="1"/>
      <c r="AAY1485" s="1"/>
      <c r="AAZ1485" s="1"/>
      <c r="ABA1485" s="1"/>
      <c r="ABB1485" s="1"/>
      <c r="ABC1485" s="1"/>
      <c r="ABD1485" s="1"/>
      <c r="ABE1485" s="1"/>
      <c r="ABF1485" s="1"/>
      <c r="ABG1485" s="1"/>
      <c r="ABH1485" s="1"/>
      <c r="ABI1485" s="1"/>
      <c r="ABJ1485" s="1"/>
      <c r="ABK1485" s="1"/>
      <c r="ABL1485" s="1"/>
      <c r="ABM1485" s="1"/>
      <c r="ABN1485" s="1"/>
      <c r="ABO1485" s="1"/>
      <c r="ABP1485" s="1"/>
      <c r="ABQ1485" s="1"/>
      <c r="ABR1485" s="1"/>
      <c r="ABS1485" s="1"/>
      <c r="ABT1485" s="1"/>
      <c r="ABU1485" s="1"/>
      <c r="ABV1485" s="1"/>
      <c r="ABW1485" s="1"/>
      <c r="ABX1485" s="1"/>
      <c r="ABY1485" s="1"/>
      <c r="ABZ1485" s="1"/>
      <c r="ACA1485" s="1"/>
      <c r="ACB1485" s="1"/>
      <c r="ACC1485" s="1"/>
      <c r="ACD1485" s="1"/>
      <c r="ACE1485" s="1"/>
      <c r="ACF1485" s="1"/>
      <c r="ACG1485" s="1"/>
      <c r="ACH1485" s="1"/>
      <c r="ACI1485" s="1"/>
      <c r="ACJ1485" s="1"/>
      <c r="ACK1485" s="1"/>
      <c r="ACL1485" s="1"/>
      <c r="ACM1485" s="1"/>
      <c r="ACN1485" s="1"/>
      <c r="ACO1485" s="1"/>
      <c r="ACP1485" s="1"/>
      <c r="ACQ1485" s="1"/>
      <c r="ACR1485" s="1"/>
      <c r="ACS1485" s="1"/>
      <c r="ACT1485" s="1"/>
      <c r="ACU1485" s="1"/>
      <c r="ACV1485" s="1"/>
      <c r="ACW1485" s="1"/>
      <c r="ACX1485" s="1"/>
      <c r="ACY1485" s="1"/>
      <c r="ACZ1485" s="1"/>
      <c r="ADA1485" s="1"/>
      <c r="ADB1485" s="1"/>
      <c r="ADC1485" s="1"/>
      <c r="ADD1485" s="1"/>
      <c r="ADE1485" s="1"/>
      <c r="ADF1485" s="1"/>
      <c r="ADG1485" s="1"/>
      <c r="ADH1485" s="1"/>
      <c r="ADI1485" s="1"/>
      <c r="ADJ1485" s="1"/>
      <c r="ADK1485" s="1"/>
      <c r="ADL1485" s="1"/>
      <c r="ADM1485" s="1"/>
      <c r="ADN1485" s="1"/>
      <c r="ADO1485" s="1"/>
      <c r="ADP1485" s="1"/>
      <c r="ADQ1485" s="1"/>
      <c r="ADR1485" s="1"/>
      <c r="ADS1485" s="1"/>
      <c r="ADT1485" s="1"/>
      <c r="ADU1485" s="1"/>
      <c r="ADV1485" s="1"/>
      <c r="ADW1485" s="1"/>
      <c r="ADX1485" s="1"/>
      <c r="ADY1485" s="1"/>
      <c r="ADZ1485" s="1"/>
      <c r="AEA1485" s="1"/>
      <c r="AEB1485" s="1"/>
      <c r="AEC1485" s="1"/>
      <c r="AED1485" s="1"/>
      <c r="AEE1485" s="1"/>
      <c r="AEF1485" s="1"/>
      <c r="AEG1485" s="1"/>
      <c r="AEH1485" s="1"/>
      <c r="AEI1485" s="1"/>
      <c r="AEJ1485" s="1"/>
      <c r="AEK1485" s="1"/>
      <c r="AEL1485" s="1"/>
      <c r="AEM1485" s="1"/>
      <c r="AEN1485" s="1"/>
      <c r="AEO1485" s="1"/>
      <c r="AEP1485" s="1"/>
      <c r="AEQ1485" s="1"/>
      <c r="AER1485" s="1"/>
      <c r="AES1485" s="1"/>
      <c r="AET1485" s="1"/>
      <c r="AEU1485" s="1"/>
      <c r="AEV1485" s="1"/>
      <c r="AEW1485" s="1"/>
      <c r="AEX1485" s="1"/>
      <c r="AEY1485" s="1"/>
      <c r="AEZ1485" s="1"/>
      <c r="AFA1485" s="1"/>
      <c r="AFB1485" s="1"/>
      <c r="AFC1485" s="1"/>
      <c r="AFD1485" s="1"/>
      <c r="AFE1485" s="1"/>
      <c r="AFF1485" s="1"/>
      <c r="AFG1485" s="1"/>
      <c r="AFH1485" s="1"/>
      <c r="AFI1485" s="1"/>
      <c r="AFJ1485" s="1"/>
      <c r="AFK1485" s="1"/>
      <c r="AFL1485" s="1"/>
      <c r="AFM1485" s="1"/>
      <c r="AFN1485" s="1"/>
      <c r="AFO1485" s="1"/>
      <c r="AFP1485" s="1"/>
      <c r="AFQ1485" s="1"/>
      <c r="AFR1485" s="1"/>
      <c r="AFS1485" s="1"/>
      <c r="AFT1485" s="1"/>
      <c r="AFU1485" s="1"/>
      <c r="AFV1485" s="1"/>
      <c r="AFW1485" s="1"/>
      <c r="AFX1485" s="1"/>
      <c r="AFY1485" s="1"/>
      <c r="AFZ1485" s="1"/>
      <c r="AGA1485" s="1"/>
      <c r="AGB1485" s="1"/>
      <c r="AGC1485" s="1"/>
      <c r="AGD1485" s="1"/>
      <c r="AGE1485" s="1"/>
      <c r="AGF1485" s="1"/>
      <c r="AGG1485" s="1"/>
      <c r="AGH1485" s="1"/>
      <c r="AGI1485" s="1"/>
      <c r="AGJ1485" s="1"/>
      <c r="AGK1485" s="1"/>
      <c r="AGL1485" s="1"/>
      <c r="AGM1485" s="1"/>
      <c r="AGN1485" s="1"/>
      <c r="AGO1485" s="1"/>
      <c r="AGP1485" s="1"/>
      <c r="AGQ1485" s="1"/>
      <c r="AGR1485" s="1"/>
      <c r="AGS1485" s="1"/>
      <c r="AGT1485" s="1"/>
      <c r="AGU1485" s="1"/>
      <c r="AGV1485" s="1"/>
      <c r="AGW1485" s="1"/>
      <c r="AGX1485" s="1"/>
      <c r="AGY1485" s="1"/>
      <c r="AGZ1485" s="1"/>
      <c r="AHA1485" s="1"/>
      <c r="AHB1485" s="1"/>
      <c r="AHC1485" s="1"/>
      <c r="AHD1485" s="1"/>
      <c r="AHE1485" s="1"/>
      <c r="AHF1485" s="1"/>
      <c r="AHG1485" s="1"/>
      <c r="AHH1485" s="1"/>
      <c r="AHI1485" s="1"/>
      <c r="AHJ1485" s="1"/>
      <c r="AHK1485" s="1"/>
      <c r="AHL1485" s="1"/>
      <c r="AHM1485" s="1"/>
      <c r="AHN1485" s="1"/>
      <c r="AHO1485" s="1"/>
      <c r="AHP1485" s="1"/>
      <c r="AHQ1485" s="1"/>
      <c r="AHR1485" s="1"/>
      <c r="AHS1485" s="1"/>
      <c r="AHT1485" s="1"/>
      <c r="AHU1485" s="1"/>
      <c r="AHV1485" s="1"/>
      <c r="AHW1485" s="1"/>
      <c r="AHX1485" s="1"/>
      <c r="AHY1485" s="1"/>
      <c r="AHZ1485" s="1"/>
      <c r="AIA1485" s="1"/>
      <c r="AIB1485" s="1"/>
      <c r="AIC1485" s="1"/>
      <c r="AID1485" s="1"/>
      <c r="AIE1485" s="1"/>
      <c r="AIF1485" s="1"/>
      <c r="AIG1485" s="1"/>
      <c r="AIH1485" s="1"/>
      <c r="AII1485" s="1"/>
      <c r="AIJ1485" s="1"/>
      <c r="AIK1485" s="1"/>
      <c r="AIL1485" s="1"/>
      <c r="AIM1485" s="1"/>
      <c r="AIN1485" s="1"/>
      <c r="AIO1485" s="1"/>
      <c r="AIP1485" s="1"/>
      <c r="AIQ1485" s="1"/>
      <c r="AIR1485" s="1"/>
      <c r="AIS1485" s="1"/>
      <c r="AIT1485" s="1"/>
      <c r="AIU1485" s="1"/>
      <c r="AIV1485" s="1"/>
      <c r="AIW1485" s="1"/>
      <c r="AIX1485" s="1"/>
      <c r="AIY1485" s="1"/>
      <c r="AIZ1485" s="1"/>
      <c r="AJA1485" s="1"/>
      <c r="AJB1485" s="1"/>
      <c r="AJC1485" s="1"/>
      <c r="AJD1485" s="1"/>
      <c r="AJE1485" s="1"/>
      <c r="AJF1485" s="1"/>
      <c r="AJG1485" s="1"/>
      <c r="AJH1485" s="1"/>
      <c r="AJI1485" s="1"/>
      <c r="AJJ1485" s="1"/>
      <c r="AJK1485" s="1"/>
      <c r="AJL1485" s="1"/>
      <c r="AJM1485" s="1"/>
      <c r="AJN1485" s="1"/>
      <c r="AJO1485" s="1"/>
      <c r="AJP1485" s="1"/>
      <c r="AJQ1485" s="1"/>
      <c r="AJR1485" s="1"/>
      <c r="AJS1485" s="1"/>
      <c r="AJT1485" s="1"/>
      <c r="AJU1485" s="1"/>
      <c r="AJV1485" s="1"/>
      <c r="AJW1485" s="1"/>
      <c r="AJX1485" s="1"/>
      <c r="AJY1485" s="1"/>
      <c r="AJZ1485" s="1"/>
      <c r="AKA1485" s="1"/>
      <c r="AKB1485" s="1"/>
      <c r="AKC1485" s="1"/>
      <c r="AKD1485" s="1"/>
      <c r="AKE1485" s="1"/>
      <c r="AKF1485" s="1"/>
      <c r="AKG1485" s="1"/>
      <c r="AKH1485" s="1"/>
      <c r="AKI1485" s="1"/>
      <c r="AKJ1485" s="1"/>
      <c r="AKK1485" s="1"/>
      <c r="AKL1485" s="1"/>
      <c r="AKM1485" s="1"/>
      <c r="AKN1485" s="1"/>
      <c r="AKO1485" s="1"/>
      <c r="AKP1485" s="1"/>
      <c r="AKQ1485" s="1"/>
      <c r="AKR1485" s="1"/>
      <c r="AKS1485" s="1"/>
      <c r="AKT1485" s="1"/>
      <c r="AKU1485" s="1"/>
      <c r="AKV1485" s="1"/>
      <c r="AKW1485" s="1"/>
      <c r="AKX1485" s="1"/>
      <c r="AKY1485" s="1"/>
      <c r="AKZ1485" s="1"/>
      <c r="ALA1485" s="1"/>
      <c r="ALB1485" s="1"/>
      <c r="ALC1485" s="1"/>
      <c r="ALD1485" s="1"/>
      <c r="ALE1485" s="1"/>
      <c r="ALF1485" s="1"/>
      <c r="ALG1485" s="1"/>
      <c r="ALH1485" s="1"/>
      <c r="ALI1485" s="1"/>
      <c r="ALJ1485" s="1"/>
      <c r="ALK1485" s="1"/>
      <c r="ALL1485" s="1"/>
      <c r="ALM1485" s="1"/>
      <c r="ALN1485" s="1"/>
      <c r="ALO1485" s="1"/>
      <c r="ALP1485" s="1"/>
      <c r="ALQ1485" s="1"/>
      <c r="ALR1485" s="1"/>
      <c r="ALS1485" s="1"/>
      <c r="ALT1485" s="1"/>
      <c r="ALU1485" s="1"/>
      <c r="ALV1485" s="1"/>
      <c r="ALW1485" s="1"/>
      <c r="ALX1485" s="1"/>
      <c r="ALY1485" s="1"/>
      <c r="ALZ1485" s="1"/>
      <c r="AMA1485" s="1"/>
      <c r="AMB1485" s="1"/>
      <c r="AMC1485" s="1"/>
      <c r="AMD1485" s="1"/>
      <c r="AME1485" s="1"/>
      <c r="AMF1485" s="1"/>
      <c r="AMG1485" s="1"/>
      <c r="AMH1485" s="1"/>
      <c r="AMI1485" s="1"/>
      <c r="AMJ1485" s="1"/>
      <c r="AMK1485" s="1"/>
    </row>
    <row r="1486" spans="1:1025" s="2" customFormat="1" ht="42.4" customHeight="1" x14ac:dyDescent="0.25">
      <c r="A1486" s="201"/>
      <c r="B1486" s="202"/>
      <c r="C1486" s="202"/>
      <c r="D1486" s="202"/>
      <c r="E1486" s="202"/>
      <c r="F1486" s="202"/>
      <c r="G1486" s="202"/>
      <c r="H1486" s="202"/>
      <c r="I1486" s="203"/>
      <c r="J1486" s="157" t="s">
        <v>991</v>
      </c>
      <c r="K1486" s="160">
        <f>K1408</f>
        <v>1</v>
      </c>
      <c r="L1486" s="924" t="s">
        <v>10</v>
      </c>
      <c r="M1486" s="158">
        <f>M1408</f>
        <v>86.538870000000003</v>
      </c>
      <c r="N1486" s="192"/>
      <c r="O1486" s="924"/>
      <c r="P1486" s="157" t="s">
        <v>37</v>
      </c>
      <c r="Q1486" s="924"/>
      <c r="R1486" s="924" t="s">
        <v>10</v>
      </c>
      <c r="S1486" s="924"/>
      <c r="T1486" s="192"/>
      <c r="U1486" s="924"/>
      <c r="V1486" s="157" t="s">
        <v>37</v>
      </c>
      <c r="W1486" s="924"/>
      <c r="X1486" s="924" t="s">
        <v>10</v>
      </c>
      <c r="Y1486" s="924"/>
      <c r="Z1486" s="192"/>
      <c r="AA1486" s="924"/>
      <c r="AB1486" s="157" t="s">
        <v>37</v>
      </c>
      <c r="AC1486" s="924"/>
      <c r="AD1486" s="924" t="s">
        <v>10</v>
      </c>
      <c r="AE1486" s="924"/>
      <c r="AF1486" s="192"/>
      <c r="AG1486" s="924"/>
      <c r="AH1486" s="157" t="s">
        <v>37</v>
      </c>
      <c r="AI1486" s="924"/>
      <c r="AJ1486" s="924" t="s">
        <v>10</v>
      </c>
      <c r="AK1486" s="924"/>
      <c r="AL1486" s="192"/>
      <c r="AM1486" s="924"/>
      <c r="AN1486" s="157" t="s">
        <v>37</v>
      </c>
      <c r="AO1486" s="924"/>
      <c r="AP1486" s="924" t="s">
        <v>10</v>
      </c>
      <c r="AQ1486" s="924"/>
      <c r="AR1486" s="55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  <c r="EA1486" s="1"/>
      <c r="EB1486" s="1"/>
      <c r="EC1486" s="1"/>
      <c r="ED1486" s="1"/>
      <c r="EE1486" s="1"/>
      <c r="EF1486" s="1"/>
      <c r="EG1486" s="1"/>
      <c r="EH1486" s="1"/>
      <c r="EI1486" s="1"/>
      <c r="EJ1486" s="1"/>
      <c r="EK1486" s="1"/>
      <c r="EL1486" s="1"/>
      <c r="EM1486" s="1"/>
      <c r="EN1486" s="1"/>
      <c r="EO1486" s="1"/>
      <c r="EP1486" s="1"/>
      <c r="EQ1486" s="1"/>
      <c r="ER1486" s="1"/>
      <c r="ES1486" s="1"/>
      <c r="ET1486" s="1"/>
      <c r="EU1486" s="1"/>
      <c r="EV1486" s="1"/>
      <c r="EW1486" s="1"/>
      <c r="EX1486" s="1"/>
      <c r="EY1486" s="1"/>
      <c r="EZ1486" s="1"/>
      <c r="FA1486" s="1"/>
      <c r="FB1486" s="1"/>
      <c r="FC1486" s="1"/>
      <c r="FD1486" s="1"/>
      <c r="FE1486" s="1"/>
      <c r="FF1486" s="1"/>
      <c r="FG1486" s="1"/>
      <c r="FH1486" s="1"/>
      <c r="FI1486" s="1"/>
      <c r="FJ1486" s="1"/>
      <c r="FK1486" s="1"/>
      <c r="FL1486" s="1"/>
      <c r="FM1486" s="1"/>
      <c r="FN1486" s="1"/>
      <c r="FO1486" s="1"/>
      <c r="FP1486" s="1"/>
      <c r="FQ1486" s="1"/>
      <c r="FR1486" s="1"/>
      <c r="FS1486" s="1"/>
      <c r="FT1486" s="1"/>
      <c r="FU1486" s="1"/>
      <c r="FV1486" s="1"/>
      <c r="FW1486" s="1"/>
      <c r="FX1486" s="1"/>
      <c r="FY1486" s="1"/>
      <c r="FZ1486" s="1"/>
      <c r="GA1486" s="1"/>
      <c r="GB1486" s="1"/>
      <c r="GC1486" s="1"/>
      <c r="GD1486" s="1"/>
      <c r="GE1486" s="1"/>
      <c r="GF1486" s="1"/>
      <c r="GG1486" s="1"/>
      <c r="GH1486" s="1"/>
      <c r="GI1486" s="1"/>
      <c r="GJ1486" s="1"/>
      <c r="GK1486" s="1"/>
      <c r="GL1486" s="1"/>
      <c r="GM1486" s="1"/>
      <c r="GN1486" s="1"/>
      <c r="GO1486" s="1"/>
      <c r="GP1486" s="1"/>
      <c r="GQ1486" s="1"/>
      <c r="GR1486" s="1"/>
      <c r="GS1486" s="1"/>
      <c r="GT1486" s="1"/>
      <c r="GU1486" s="1"/>
      <c r="GV1486" s="1"/>
      <c r="GW1486" s="1"/>
      <c r="GX1486" s="1"/>
      <c r="GY1486" s="1"/>
      <c r="GZ1486" s="1"/>
      <c r="HA1486" s="1"/>
      <c r="HB1486" s="1"/>
      <c r="HC1486" s="1"/>
      <c r="HD1486" s="1"/>
      <c r="HE1486" s="1"/>
      <c r="HF1486" s="1"/>
      <c r="HG1486" s="1"/>
      <c r="HH1486" s="1"/>
      <c r="HI1486" s="1"/>
      <c r="HJ1486" s="1"/>
      <c r="HK1486" s="1"/>
      <c r="HL1486" s="1"/>
      <c r="HM1486" s="1"/>
      <c r="HN1486" s="1"/>
      <c r="HO1486" s="1"/>
      <c r="HP1486" s="1"/>
      <c r="HQ1486" s="1"/>
      <c r="HR1486" s="1"/>
      <c r="HS1486" s="1"/>
      <c r="HT1486" s="1"/>
      <c r="HU1486" s="1"/>
      <c r="HV1486" s="1"/>
      <c r="HW1486" s="1"/>
      <c r="HX1486" s="1"/>
      <c r="HY1486" s="1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  <c r="IU1486" s="1"/>
      <c r="IV1486" s="1"/>
      <c r="IW1486" s="1"/>
      <c r="IX1486" s="1"/>
      <c r="IY1486" s="1"/>
      <c r="IZ1486" s="1"/>
      <c r="JA1486" s="1"/>
      <c r="JB1486" s="1"/>
      <c r="JC1486" s="1"/>
      <c r="JD1486" s="1"/>
      <c r="JE1486" s="1"/>
      <c r="JF1486" s="1"/>
      <c r="JG1486" s="1"/>
      <c r="JH1486" s="1"/>
      <c r="JI1486" s="1"/>
      <c r="JJ1486" s="1"/>
      <c r="JK1486" s="1"/>
      <c r="JL1486" s="1"/>
      <c r="JM1486" s="1"/>
      <c r="JN1486" s="1"/>
      <c r="JO1486" s="1"/>
      <c r="JP1486" s="1"/>
      <c r="JQ1486" s="1"/>
      <c r="JR1486" s="1"/>
      <c r="JS1486" s="1"/>
      <c r="JT1486" s="1"/>
      <c r="JU1486" s="1"/>
      <c r="JV1486" s="1"/>
      <c r="JW1486" s="1"/>
      <c r="JX1486" s="1"/>
      <c r="JY1486" s="1"/>
      <c r="JZ1486" s="1"/>
      <c r="KA1486" s="1"/>
      <c r="KB1486" s="1"/>
      <c r="KC1486" s="1"/>
      <c r="KD1486" s="1"/>
      <c r="KE1486" s="1"/>
      <c r="KF1486" s="1"/>
      <c r="KG1486" s="1"/>
      <c r="KH1486" s="1"/>
      <c r="KI1486" s="1"/>
      <c r="KJ1486" s="1"/>
      <c r="KK1486" s="1"/>
      <c r="KL1486" s="1"/>
      <c r="KM1486" s="1"/>
      <c r="KN1486" s="1"/>
      <c r="KO1486" s="1"/>
      <c r="KP1486" s="1"/>
      <c r="KQ1486" s="1"/>
      <c r="KR1486" s="1"/>
      <c r="KS1486" s="1"/>
      <c r="KT1486" s="1"/>
      <c r="KU1486" s="1"/>
      <c r="KV1486" s="1"/>
      <c r="KW1486" s="1"/>
      <c r="KX1486" s="1"/>
      <c r="KY1486" s="1"/>
      <c r="KZ1486" s="1"/>
      <c r="LA1486" s="1"/>
      <c r="LB1486" s="1"/>
      <c r="LC1486" s="1"/>
      <c r="LD1486" s="1"/>
      <c r="LE1486" s="1"/>
      <c r="LF1486" s="1"/>
      <c r="LG1486" s="1"/>
      <c r="LH1486" s="1"/>
      <c r="LI1486" s="1"/>
      <c r="LJ1486" s="1"/>
      <c r="LK1486" s="1"/>
      <c r="LL1486" s="1"/>
      <c r="LM1486" s="1"/>
      <c r="LN1486" s="1"/>
      <c r="LO1486" s="1"/>
      <c r="LP1486" s="1"/>
      <c r="LQ1486" s="1"/>
      <c r="LR1486" s="1"/>
      <c r="LS1486" s="1"/>
      <c r="LT1486" s="1"/>
      <c r="LU1486" s="1"/>
      <c r="LV1486" s="1"/>
      <c r="LW1486" s="1"/>
      <c r="LX1486" s="1"/>
      <c r="LY1486" s="1"/>
      <c r="LZ1486" s="1"/>
      <c r="MA1486" s="1"/>
      <c r="MB1486" s="1"/>
      <c r="MC1486" s="1"/>
      <c r="MD1486" s="1"/>
      <c r="ME1486" s="1"/>
      <c r="MF1486" s="1"/>
      <c r="MG1486" s="1"/>
      <c r="MH1486" s="1"/>
      <c r="MI1486" s="1"/>
      <c r="MJ1486" s="1"/>
      <c r="MK1486" s="1"/>
      <c r="ML1486" s="1"/>
      <c r="MM1486" s="1"/>
      <c r="MN1486" s="1"/>
      <c r="MO1486" s="1"/>
      <c r="MP1486" s="1"/>
      <c r="MQ1486" s="1"/>
      <c r="MR1486" s="1"/>
      <c r="MS1486" s="1"/>
      <c r="MT1486" s="1"/>
      <c r="MU1486" s="1"/>
      <c r="MV1486" s="1"/>
      <c r="MW1486" s="1"/>
      <c r="MX1486" s="1"/>
      <c r="MY1486" s="1"/>
      <c r="MZ1486" s="1"/>
      <c r="NA1486" s="1"/>
      <c r="NB1486" s="1"/>
      <c r="NC1486" s="1"/>
      <c r="ND1486" s="1"/>
      <c r="NE1486" s="1"/>
      <c r="NF1486" s="1"/>
      <c r="NG1486" s="1"/>
      <c r="NH1486" s="1"/>
      <c r="NI1486" s="1"/>
      <c r="NJ1486" s="1"/>
      <c r="NK1486" s="1"/>
      <c r="NL1486" s="1"/>
      <c r="NM1486" s="1"/>
      <c r="NN1486" s="1"/>
      <c r="NO1486" s="1"/>
      <c r="NP1486" s="1"/>
      <c r="NQ1486" s="1"/>
      <c r="NR1486" s="1"/>
      <c r="NS1486" s="1"/>
      <c r="NT1486" s="1"/>
      <c r="NU1486" s="1"/>
      <c r="NV1486" s="1"/>
      <c r="NW1486" s="1"/>
      <c r="NX1486" s="1"/>
      <c r="NY1486" s="1"/>
      <c r="NZ1486" s="1"/>
      <c r="OA1486" s="1"/>
      <c r="OB1486" s="1"/>
      <c r="OC1486" s="1"/>
      <c r="OD1486" s="1"/>
      <c r="OE1486" s="1"/>
      <c r="OF1486" s="1"/>
      <c r="OG1486" s="1"/>
      <c r="OH1486" s="1"/>
      <c r="OI1486" s="1"/>
      <c r="OJ1486" s="1"/>
      <c r="OK1486" s="1"/>
      <c r="OL1486" s="1"/>
      <c r="OM1486" s="1"/>
      <c r="ON1486" s="1"/>
      <c r="OO1486" s="1"/>
      <c r="OP1486" s="1"/>
      <c r="OQ1486" s="1"/>
      <c r="OR1486" s="1"/>
      <c r="OS1486" s="1"/>
      <c r="OT1486" s="1"/>
      <c r="OU1486" s="1"/>
      <c r="OV1486" s="1"/>
      <c r="OW1486" s="1"/>
      <c r="OX1486" s="1"/>
      <c r="OY1486" s="1"/>
      <c r="OZ1486" s="1"/>
      <c r="PA1486" s="1"/>
      <c r="PB1486" s="1"/>
      <c r="PC1486" s="1"/>
      <c r="PD1486" s="1"/>
      <c r="PE1486" s="1"/>
      <c r="PF1486" s="1"/>
      <c r="PG1486" s="1"/>
      <c r="PH1486" s="1"/>
      <c r="PI1486" s="1"/>
      <c r="PJ1486" s="1"/>
      <c r="PK1486" s="1"/>
      <c r="PL1486" s="1"/>
      <c r="PM1486" s="1"/>
      <c r="PN1486" s="1"/>
      <c r="PO1486" s="1"/>
      <c r="PP1486" s="1"/>
      <c r="PQ1486" s="1"/>
      <c r="PR1486" s="1"/>
      <c r="PS1486" s="1"/>
      <c r="PT1486" s="1"/>
      <c r="PU1486" s="1"/>
      <c r="PV1486" s="1"/>
      <c r="PW1486" s="1"/>
      <c r="PX1486" s="1"/>
      <c r="PY1486" s="1"/>
      <c r="PZ1486" s="1"/>
      <c r="QA1486" s="1"/>
      <c r="QB1486" s="1"/>
      <c r="QC1486" s="1"/>
      <c r="QD1486" s="1"/>
      <c r="QE1486" s="1"/>
      <c r="QF1486" s="1"/>
      <c r="QG1486" s="1"/>
      <c r="QH1486" s="1"/>
      <c r="QI1486" s="1"/>
      <c r="QJ1486" s="1"/>
      <c r="QK1486" s="1"/>
      <c r="QL1486" s="1"/>
      <c r="QM1486" s="1"/>
      <c r="QN1486" s="1"/>
      <c r="QO1486" s="1"/>
      <c r="QP1486" s="1"/>
      <c r="QQ1486" s="1"/>
      <c r="QR1486" s="1"/>
      <c r="QS1486" s="1"/>
      <c r="QT1486" s="1"/>
      <c r="QU1486" s="1"/>
      <c r="QV1486" s="1"/>
      <c r="QW1486" s="1"/>
      <c r="QX1486" s="1"/>
      <c r="QY1486" s="1"/>
      <c r="QZ1486" s="1"/>
      <c r="RA1486" s="1"/>
      <c r="RB1486" s="1"/>
      <c r="RC1486" s="1"/>
      <c r="RD1486" s="1"/>
      <c r="RE1486" s="1"/>
      <c r="RF1486" s="1"/>
      <c r="RG1486" s="1"/>
      <c r="RH1486" s="1"/>
      <c r="RI1486" s="1"/>
      <c r="RJ1486" s="1"/>
      <c r="RK1486" s="1"/>
      <c r="RL1486" s="1"/>
      <c r="RM1486" s="1"/>
      <c r="RN1486" s="1"/>
      <c r="RO1486" s="1"/>
      <c r="RP1486" s="1"/>
      <c r="RQ1486" s="1"/>
      <c r="RR1486" s="1"/>
      <c r="RS1486" s="1"/>
      <c r="RT1486" s="1"/>
      <c r="RU1486" s="1"/>
      <c r="RV1486" s="1"/>
      <c r="RW1486" s="1"/>
      <c r="RX1486" s="1"/>
      <c r="RY1486" s="1"/>
      <c r="RZ1486" s="1"/>
      <c r="SA1486" s="1"/>
      <c r="SB1486" s="1"/>
      <c r="SC1486" s="1"/>
      <c r="SD1486" s="1"/>
      <c r="SE1486" s="1"/>
      <c r="SF1486" s="1"/>
      <c r="SG1486" s="1"/>
      <c r="SH1486" s="1"/>
      <c r="SI1486" s="1"/>
      <c r="SJ1486" s="1"/>
      <c r="SK1486" s="1"/>
      <c r="SL1486" s="1"/>
      <c r="SM1486" s="1"/>
      <c r="SN1486" s="1"/>
      <c r="SO1486" s="1"/>
      <c r="SP1486" s="1"/>
      <c r="SQ1486" s="1"/>
      <c r="SR1486" s="1"/>
      <c r="SS1486" s="1"/>
      <c r="ST1486" s="1"/>
      <c r="SU1486" s="1"/>
      <c r="SV1486" s="1"/>
      <c r="SW1486" s="1"/>
      <c r="SX1486" s="1"/>
      <c r="SY1486" s="1"/>
      <c r="SZ1486" s="1"/>
      <c r="TA1486" s="1"/>
      <c r="TB1486" s="1"/>
      <c r="TC1486" s="1"/>
      <c r="TD1486" s="1"/>
      <c r="TE1486" s="1"/>
      <c r="TF1486" s="1"/>
      <c r="TG1486" s="1"/>
      <c r="TH1486" s="1"/>
      <c r="TI1486" s="1"/>
      <c r="TJ1486" s="1"/>
      <c r="TK1486" s="1"/>
      <c r="TL1486" s="1"/>
      <c r="TM1486" s="1"/>
      <c r="TN1486" s="1"/>
      <c r="TO1486" s="1"/>
      <c r="TP1486" s="1"/>
      <c r="TQ1486" s="1"/>
      <c r="TR1486" s="1"/>
      <c r="TS1486" s="1"/>
      <c r="TT1486" s="1"/>
      <c r="TU1486" s="1"/>
      <c r="TV1486" s="1"/>
      <c r="TW1486" s="1"/>
      <c r="TX1486" s="1"/>
      <c r="TY1486" s="1"/>
      <c r="TZ1486" s="1"/>
      <c r="UA1486" s="1"/>
      <c r="UB1486" s="1"/>
      <c r="UC1486" s="1"/>
      <c r="UD1486" s="1"/>
      <c r="UE1486" s="1"/>
      <c r="UF1486" s="1"/>
      <c r="UG1486" s="1"/>
      <c r="UH1486" s="1"/>
      <c r="UI1486" s="1"/>
      <c r="UJ1486" s="1"/>
      <c r="UK1486" s="1"/>
      <c r="UL1486" s="1"/>
      <c r="UM1486" s="1"/>
      <c r="UN1486" s="1"/>
      <c r="UO1486" s="1"/>
      <c r="UP1486" s="1"/>
      <c r="UQ1486" s="1"/>
      <c r="UR1486" s="1"/>
      <c r="US1486" s="1"/>
      <c r="UT1486" s="1"/>
      <c r="UU1486" s="1"/>
      <c r="UV1486" s="1"/>
      <c r="UW1486" s="1"/>
      <c r="UX1486" s="1"/>
      <c r="UY1486" s="1"/>
      <c r="UZ1486" s="1"/>
      <c r="VA1486" s="1"/>
      <c r="VB1486" s="1"/>
      <c r="VC1486" s="1"/>
      <c r="VD1486" s="1"/>
      <c r="VE1486" s="1"/>
      <c r="VF1486" s="1"/>
      <c r="VG1486" s="1"/>
      <c r="VH1486" s="1"/>
      <c r="VI1486" s="1"/>
      <c r="VJ1486" s="1"/>
      <c r="VK1486" s="1"/>
      <c r="VL1486" s="1"/>
      <c r="VM1486" s="1"/>
      <c r="VN1486" s="1"/>
      <c r="VO1486" s="1"/>
      <c r="VP1486" s="1"/>
      <c r="VQ1486" s="1"/>
      <c r="VR1486" s="1"/>
      <c r="VS1486" s="1"/>
      <c r="VT1486" s="1"/>
      <c r="VU1486" s="1"/>
      <c r="VV1486" s="1"/>
      <c r="VW1486" s="1"/>
      <c r="VX1486" s="1"/>
      <c r="VY1486" s="1"/>
      <c r="VZ1486" s="1"/>
      <c r="WA1486" s="1"/>
      <c r="WB1486" s="1"/>
      <c r="WC1486" s="1"/>
      <c r="WD1486" s="1"/>
      <c r="WE1486" s="1"/>
      <c r="WF1486" s="1"/>
      <c r="WG1486" s="1"/>
      <c r="WH1486" s="1"/>
      <c r="WI1486" s="1"/>
      <c r="WJ1486" s="1"/>
      <c r="WK1486" s="1"/>
      <c r="WL1486" s="1"/>
      <c r="WM1486" s="1"/>
      <c r="WN1486" s="1"/>
      <c r="WO1486" s="1"/>
      <c r="WP1486" s="1"/>
      <c r="WQ1486" s="1"/>
      <c r="WR1486" s="1"/>
      <c r="WS1486" s="1"/>
      <c r="WT1486" s="1"/>
      <c r="WU1486" s="1"/>
      <c r="WV1486" s="1"/>
      <c r="WW1486" s="1"/>
      <c r="WX1486" s="1"/>
      <c r="WY1486" s="1"/>
      <c r="WZ1486" s="1"/>
      <c r="XA1486" s="1"/>
      <c r="XB1486" s="1"/>
      <c r="XC1486" s="1"/>
      <c r="XD1486" s="1"/>
      <c r="XE1486" s="1"/>
      <c r="XF1486" s="1"/>
      <c r="XG1486" s="1"/>
      <c r="XH1486" s="1"/>
      <c r="XI1486" s="1"/>
      <c r="XJ1486" s="1"/>
      <c r="XK1486" s="1"/>
      <c r="XL1486" s="1"/>
      <c r="XM1486" s="1"/>
      <c r="XN1486" s="1"/>
      <c r="XO1486" s="1"/>
      <c r="XP1486" s="1"/>
      <c r="XQ1486" s="1"/>
      <c r="XR1486" s="1"/>
      <c r="XS1486" s="1"/>
      <c r="XT1486" s="1"/>
      <c r="XU1486" s="1"/>
      <c r="XV1486" s="1"/>
      <c r="XW1486" s="1"/>
      <c r="XX1486" s="1"/>
      <c r="XY1486" s="1"/>
      <c r="XZ1486" s="1"/>
      <c r="YA1486" s="1"/>
      <c r="YB1486" s="1"/>
      <c r="YC1486" s="1"/>
      <c r="YD1486" s="1"/>
      <c r="YE1486" s="1"/>
      <c r="YF1486" s="1"/>
      <c r="YG1486" s="1"/>
      <c r="YH1486" s="1"/>
      <c r="YI1486" s="1"/>
      <c r="YJ1486" s="1"/>
      <c r="YK1486" s="1"/>
      <c r="YL1486" s="1"/>
      <c r="YM1486" s="1"/>
      <c r="YN1486" s="1"/>
      <c r="YO1486" s="1"/>
      <c r="YP1486" s="1"/>
      <c r="YQ1486" s="1"/>
      <c r="YR1486" s="1"/>
      <c r="YS1486" s="1"/>
      <c r="YT1486" s="1"/>
      <c r="YU1486" s="1"/>
      <c r="YV1486" s="1"/>
      <c r="YW1486" s="1"/>
      <c r="YX1486" s="1"/>
      <c r="YY1486" s="1"/>
      <c r="YZ1486" s="1"/>
      <c r="ZA1486" s="1"/>
      <c r="ZB1486" s="1"/>
      <c r="ZC1486" s="1"/>
      <c r="ZD1486" s="1"/>
      <c r="ZE1486" s="1"/>
      <c r="ZF1486" s="1"/>
      <c r="ZG1486" s="1"/>
      <c r="ZH1486" s="1"/>
      <c r="ZI1486" s="1"/>
      <c r="ZJ1486" s="1"/>
      <c r="ZK1486" s="1"/>
      <c r="ZL1486" s="1"/>
      <c r="ZM1486" s="1"/>
      <c r="ZN1486" s="1"/>
      <c r="ZO1486" s="1"/>
      <c r="ZP1486" s="1"/>
      <c r="ZQ1486" s="1"/>
      <c r="ZR1486" s="1"/>
      <c r="ZS1486" s="1"/>
      <c r="ZT1486" s="1"/>
      <c r="ZU1486" s="1"/>
      <c r="ZV1486" s="1"/>
      <c r="ZW1486" s="1"/>
      <c r="ZX1486" s="1"/>
      <c r="ZY1486" s="1"/>
      <c r="ZZ1486" s="1"/>
      <c r="AAA1486" s="1"/>
      <c r="AAB1486" s="1"/>
      <c r="AAC1486" s="1"/>
      <c r="AAD1486" s="1"/>
      <c r="AAE1486" s="1"/>
      <c r="AAF1486" s="1"/>
      <c r="AAG1486" s="1"/>
      <c r="AAH1486" s="1"/>
      <c r="AAI1486" s="1"/>
      <c r="AAJ1486" s="1"/>
      <c r="AAK1486" s="1"/>
      <c r="AAL1486" s="1"/>
      <c r="AAM1486" s="1"/>
      <c r="AAN1486" s="1"/>
      <c r="AAO1486" s="1"/>
      <c r="AAP1486" s="1"/>
      <c r="AAQ1486" s="1"/>
      <c r="AAR1486" s="1"/>
      <c r="AAS1486" s="1"/>
      <c r="AAT1486" s="1"/>
      <c r="AAU1486" s="1"/>
      <c r="AAV1486" s="1"/>
      <c r="AAW1486" s="1"/>
      <c r="AAX1486" s="1"/>
      <c r="AAY1486" s="1"/>
      <c r="AAZ1486" s="1"/>
      <c r="ABA1486" s="1"/>
      <c r="ABB1486" s="1"/>
      <c r="ABC1486" s="1"/>
      <c r="ABD1486" s="1"/>
      <c r="ABE1486" s="1"/>
      <c r="ABF1486" s="1"/>
      <c r="ABG1486" s="1"/>
      <c r="ABH1486" s="1"/>
      <c r="ABI1486" s="1"/>
      <c r="ABJ1486" s="1"/>
      <c r="ABK1486" s="1"/>
      <c r="ABL1486" s="1"/>
      <c r="ABM1486" s="1"/>
      <c r="ABN1486" s="1"/>
      <c r="ABO1486" s="1"/>
      <c r="ABP1486" s="1"/>
      <c r="ABQ1486" s="1"/>
      <c r="ABR1486" s="1"/>
      <c r="ABS1486" s="1"/>
      <c r="ABT1486" s="1"/>
      <c r="ABU1486" s="1"/>
      <c r="ABV1486" s="1"/>
      <c r="ABW1486" s="1"/>
      <c r="ABX1486" s="1"/>
      <c r="ABY1486" s="1"/>
      <c r="ABZ1486" s="1"/>
      <c r="ACA1486" s="1"/>
      <c r="ACB1486" s="1"/>
      <c r="ACC1486" s="1"/>
      <c r="ACD1486" s="1"/>
      <c r="ACE1486" s="1"/>
      <c r="ACF1486" s="1"/>
      <c r="ACG1486" s="1"/>
      <c r="ACH1486" s="1"/>
      <c r="ACI1486" s="1"/>
      <c r="ACJ1486" s="1"/>
      <c r="ACK1486" s="1"/>
      <c r="ACL1486" s="1"/>
      <c r="ACM1486" s="1"/>
      <c r="ACN1486" s="1"/>
      <c r="ACO1486" s="1"/>
      <c r="ACP1486" s="1"/>
      <c r="ACQ1486" s="1"/>
      <c r="ACR1486" s="1"/>
      <c r="ACS1486" s="1"/>
      <c r="ACT1486" s="1"/>
      <c r="ACU1486" s="1"/>
      <c r="ACV1486" s="1"/>
      <c r="ACW1486" s="1"/>
      <c r="ACX1486" s="1"/>
      <c r="ACY1486" s="1"/>
      <c r="ACZ1486" s="1"/>
      <c r="ADA1486" s="1"/>
      <c r="ADB1486" s="1"/>
      <c r="ADC1486" s="1"/>
      <c r="ADD1486" s="1"/>
      <c r="ADE1486" s="1"/>
      <c r="ADF1486" s="1"/>
      <c r="ADG1486" s="1"/>
      <c r="ADH1486" s="1"/>
      <c r="ADI1486" s="1"/>
      <c r="ADJ1486" s="1"/>
      <c r="ADK1486" s="1"/>
      <c r="ADL1486" s="1"/>
      <c r="ADM1486" s="1"/>
      <c r="ADN1486" s="1"/>
      <c r="ADO1486" s="1"/>
      <c r="ADP1486" s="1"/>
      <c r="ADQ1486" s="1"/>
      <c r="ADR1486" s="1"/>
      <c r="ADS1486" s="1"/>
      <c r="ADT1486" s="1"/>
      <c r="ADU1486" s="1"/>
      <c r="ADV1486" s="1"/>
      <c r="ADW1486" s="1"/>
      <c r="ADX1486" s="1"/>
      <c r="ADY1486" s="1"/>
      <c r="ADZ1486" s="1"/>
      <c r="AEA1486" s="1"/>
      <c r="AEB1486" s="1"/>
      <c r="AEC1486" s="1"/>
      <c r="AED1486" s="1"/>
      <c r="AEE1486" s="1"/>
      <c r="AEF1486" s="1"/>
      <c r="AEG1486" s="1"/>
      <c r="AEH1486" s="1"/>
      <c r="AEI1486" s="1"/>
      <c r="AEJ1486" s="1"/>
      <c r="AEK1486" s="1"/>
      <c r="AEL1486" s="1"/>
      <c r="AEM1486" s="1"/>
      <c r="AEN1486" s="1"/>
      <c r="AEO1486" s="1"/>
      <c r="AEP1486" s="1"/>
      <c r="AEQ1486" s="1"/>
      <c r="AER1486" s="1"/>
      <c r="AES1486" s="1"/>
      <c r="AET1486" s="1"/>
      <c r="AEU1486" s="1"/>
      <c r="AEV1486" s="1"/>
      <c r="AEW1486" s="1"/>
      <c r="AEX1486" s="1"/>
      <c r="AEY1486" s="1"/>
      <c r="AEZ1486" s="1"/>
      <c r="AFA1486" s="1"/>
      <c r="AFB1486" s="1"/>
      <c r="AFC1486" s="1"/>
      <c r="AFD1486" s="1"/>
      <c r="AFE1486" s="1"/>
      <c r="AFF1486" s="1"/>
      <c r="AFG1486" s="1"/>
      <c r="AFH1486" s="1"/>
      <c r="AFI1486" s="1"/>
      <c r="AFJ1486" s="1"/>
      <c r="AFK1486" s="1"/>
      <c r="AFL1486" s="1"/>
      <c r="AFM1486" s="1"/>
      <c r="AFN1486" s="1"/>
      <c r="AFO1486" s="1"/>
      <c r="AFP1486" s="1"/>
      <c r="AFQ1486" s="1"/>
      <c r="AFR1486" s="1"/>
      <c r="AFS1486" s="1"/>
      <c r="AFT1486" s="1"/>
      <c r="AFU1486" s="1"/>
      <c r="AFV1486" s="1"/>
      <c r="AFW1486" s="1"/>
      <c r="AFX1486" s="1"/>
      <c r="AFY1486" s="1"/>
      <c r="AFZ1486" s="1"/>
      <c r="AGA1486" s="1"/>
      <c r="AGB1486" s="1"/>
      <c r="AGC1486" s="1"/>
      <c r="AGD1486" s="1"/>
      <c r="AGE1486" s="1"/>
      <c r="AGF1486" s="1"/>
      <c r="AGG1486" s="1"/>
      <c r="AGH1486" s="1"/>
      <c r="AGI1486" s="1"/>
      <c r="AGJ1486" s="1"/>
      <c r="AGK1486" s="1"/>
      <c r="AGL1486" s="1"/>
      <c r="AGM1486" s="1"/>
      <c r="AGN1486" s="1"/>
      <c r="AGO1486" s="1"/>
      <c r="AGP1486" s="1"/>
      <c r="AGQ1486" s="1"/>
      <c r="AGR1486" s="1"/>
      <c r="AGS1486" s="1"/>
      <c r="AGT1486" s="1"/>
      <c r="AGU1486" s="1"/>
      <c r="AGV1486" s="1"/>
      <c r="AGW1486" s="1"/>
      <c r="AGX1486" s="1"/>
      <c r="AGY1486" s="1"/>
      <c r="AGZ1486" s="1"/>
      <c r="AHA1486" s="1"/>
      <c r="AHB1486" s="1"/>
      <c r="AHC1486" s="1"/>
      <c r="AHD1486" s="1"/>
      <c r="AHE1486" s="1"/>
      <c r="AHF1486" s="1"/>
      <c r="AHG1486" s="1"/>
      <c r="AHH1486" s="1"/>
      <c r="AHI1486" s="1"/>
      <c r="AHJ1486" s="1"/>
      <c r="AHK1486" s="1"/>
      <c r="AHL1486" s="1"/>
      <c r="AHM1486" s="1"/>
      <c r="AHN1486" s="1"/>
      <c r="AHO1486" s="1"/>
      <c r="AHP1486" s="1"/>
      <c r="AHQ1486" s="1"/>
      <c r="AHR1486" s="1"/>
      <c r="AHS1486" s="1"/>
      <c r="AHT1486" s="1"/>
      <c r="AHU1486" s="1"/>
      <c r="AHV1486" s="1"/>
      <c r="AHW1486" s="1"/>
      <c r="AHX1486" s="1"/>
      <c r="AHY1486" s="1"/>
      <c r="AHZ1486" s="1"/>
      <c r="AIA1486" s="1"/>
      <c r="AIB1486" s="1"/>
      <c r="AIC1486" s="1"/>
      <c r="AID1486" s="1"/>
      <c r="AIE1486" s="1"/>
      <c r="AIF1486" s="1"/>
      <c r="AIG1486" s="1"/>
      <c r="AIH1486" s="1"/>
      <c r="AII1486" s="1"/>
      <c r="AIJ1486" s="1"/>
      <c r="AIK1486" s="1"/>
      <c r="AIL1486" s="1"/>
      <c r="AIM1486" s="1"/>
      <c r="AIN1486" s="1"/>
      <c r="AIO1486" s="1"/>
      <c r="AIP1486" s="1"/>
      <c r="AIQ1486" s="1"/>
      <c r="AIR1486" s="1"/>
      <c r="AIS1486" s="1"/>
      <c r="AIT1486" s="1"/>
      <c r="AIU1486" s="1"/>
      <c r="AIV1486" s="1"/>
      <c r="AIW1486" s="1"/>
      <c r="AIX1486" s="1"/>
      <c r="AIY1486" s="1"/>
      <c r="AIZ1486" s="1"/>
      <c r="AJA1486" s="1"/>
      <c r="AJB1486" s="1"/>
      <c r="AJC1486" s="1"/>
      <c r="AJD1486" s="1"/>
      <c r="AJE1486" s="1"/>
      <c r="AJF1486" s="1"/>
      <c r="AJG1486" s="1"/>
      <c r="AJH1486" s="1"/>
      <c r="AJI1486" s="1"/>
      <c r="AJJ1486" s="1"/>
      <c r="AJK1486" s="1"/>
      <c r="AJL1486" s="1"/>
      <c r="AJM1486" s="1"/>
      <c r="AJN1486" s="1"/>
      <c r="AJO1486" s="1"/>
      <c r="AJP1486" s="1"/>
      <c r="AJQ1486" s="1"/>
      <c r="AJR1486" s="1"/>
      <c r="AJS1486" s="1"/>
      <c r="AJT1486" s="1"/>
      <c r="AJU1486" s="1"/>
      <c r="AJV1486" s="1"/>
      <c r="AJW1486" s="1"/>
      <c r="AJX1486" s="1"/>
      <c r="AJY1486" s="1"/>
      <c r="AJZ1486" s="1"/>
      <c r="AKA1486" s="1"/>
      <c r="AKB1486" s="1"/>
      <c r="AKC1486" s="1"/>
      <c r="AKD1486" s="1"/>
      <c r="AKE1486" s="1"/>
      <c r="AKF1486" s="1"/>
      <c r="AKG1486" s="1"/>
      <c r="AKH1486" s="1"/>
      <c r="AKI1486" s="1"/>
      <c r="AKJ1486" s="1"/>
      <c r="AKK1486" s="1"/>
      <c r="AKL1486" s="1"/>
      <c r="AKM1486" s="1"/>
      <c r="AKN1486" s="1"/>
      <c r="AKO1486" s="1"/>
      <c r="AKP1486" s="1"/>
      <c r="AKQ1486" s="1"/>
      <c r="AKR1486" s="1"/>
      <c r="AKS1486" s="1"/>
      <c r="AKT1486" s="1"/>
      <c r="AKU1486" s="1"/>
      <c r="AKV1486" s="1"/>
      <c r="AKW1486" s="1"/>
      <c r="AKX1486" s="1"/>
      <c r="AKY1486" s="1"/>
      <c r="AKZ1486" s="1"/>
      <c r="ALA1486" s="1"/>
      <c r="ALB1486" s="1"/>
      <c r="ALC1486" s="1"/>
      <c r="ALD1486" s="1"/>
      <c r="ALE1486" s="1"/>
      <c r="ALF1486" s="1"/>
      <c r="ALG1486" s="1"/>
      <c r="ALH1486" s="1"/>
      <c r="ALI1486" s="1"/>
      <c r="ALJ1486" s="1"/>
      <c r="ALK1486" s="1"/>
      <c r="ALL1486" s="1"/>
      <c r="ALM1486" s="1"/>
      <c r="ALN1486" s="1"/>
      <c r="ALO1486" s="1"/>
      <c r="ALP1486" s="1"/>
      <c r="ALQ1486" s="1"/>
      <c r="ALR1486" s="1"/>
      <c r="ALS1486" s="1"/>
      <c r="ALT1486" s="1"/>
      <c r="ALU1486" s="1"/>
      <c r="ALV1486" s="1"/>
      <c r="ALW1486" s="1"/>
      <c r="ALX1486" s="1"/>
      <c r="ALY1486" s="1"/>
      <c r="ALZ1486" s="1"/>
      <c r="AMA1486" s="1"/>
      <c r="AMB1486" s="1"/>
      <c r="AMC1486" s="1"/>
      <c r="AMD1486" s="1"/>
      <c r="AME1486" s="1"/>
      <c r="AMF1486" s="1"/>
      <c r="AMG1486" s="1"/>
      <c r="AMH1486" s="1"/>
      <c r="AMI1486" s="1"/>
      <c r="AMJ1486" s="1"/>
      <c r="AMK1486" s="1"/>
    </row>
    <row r="1487" spans="1:1025" s="2" customFormat="1" ht="37.9" customHeight="1" x14ac:dyDescent="0.25">
      <c r="A1487" s="204"/>
      <c r="B1487" s="205"/>
      <c r="C1487" s="205"/>
      <c r="D1487" s="205"/>
      <c r="E1487" s="205"/>
      <c r="F1487" s="205"/>
      <c r="G1487" s="205"/>
      <c r="H1487" s="205"/>
      <c r="I1487" s="206"/>
      <c r="J1487" s="197" t="s">
        <v>851</v>
      </c>
      <c r="K1487" s="160">
        <f>K1407</f>
        <v>143</v>
      </c>
      <c r="L1487" s="924" t="s">
        <v>8</v>
      </c>
      <c r="M1487" s="158">
        <f>M1407</f>
        <v>20207.481299999999</v>
      </c>
      <c r="N1487" s="192"/>
      <c r="O1487" s="924"/>
      <c r="P1487" s="157" t="s">
        <v>36</v>
      </c>
      <c r="Q1487" s="924"/>
      <c r="R1487" s="924"/>
      <c r="S1487" s="924"/>
      <c r="T1487" s="192"/>
      <c r="U1487" s="924"/>
      <c r="V1487" s="157" t="s">
        <v>36</v>
      </c>
      <c r="W1487" s="924"/>
      <c r="X1487" s="924"/>
      <c r="Y1487" s="924"/>
      <c r="Z1487" s="192"/>
      <c r="AA1487" s="924"/>
      <c r="AB1487" s="157" t="s">
        <v>36</v>
      </c>
      <c r="AC1487" s="924"/>
      <c r="AD1487" s="924"/>
      <c r="AE1487" s="924"/>
      <c r="AF1487" s="192"/>
      <c r="AG1487" s="924"/>
      <c r="AH1487" s="157" t="s">
        <v>36</v>
      </c>
      <c r="AI1487" s="924"/>
      <c r="AJ1487" s="924"/>
      <c r="AK1487" s="924"/>
      <c r="AL1487" s="192"/>
      <c r="AM1487" s="924"/>
      <c r="AN1487" s="157" t="s">
        <v>36</v>
      </c>
      <c r="AO1487" s="924"/>
      <c r="AP1487" s="924"/>
      <c r="AQ1487" s="924"/>
      <c r="AR1487" s="55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  <c r="EA1487" s="1"/>
      <c r="EB1487" s="1"/>
      <c r="EC1487" s="1"/>
      <c r="ED1487" s="1"/>
      <c r="EE1487" s="1"/>
      <c r="EF1487" s="1"/>
      <c r="EG1487" s="1"/>
      <c r="EH1487" s="1"/>
      <c r="EI1487" s="1"/>
      <c r="EJ1487" s="1"/>
      <c r="EK1487" s="1"/>
      <c r="EL1487" s="1"/>
      <c r="EM1487" s="1"/>
      <c r="EN1487" s="1"/>
      <c r="EO1487" s="1"/>
      <c r="EP1487" s="1"/>
      <c r="EQ1487" s="1"/>
      <c r="ER1487" s="1"/>
      <c r="ES1487" s="1"/>
      <c r="ET1487" s="1"/>
      <c r="EU1487" s="1"/>
      <c r="EV1487" s="1"/>
      <c r="EW1487" s="1"/>
      <c r="EX1487" s="1"/>
      <c r="EY1487" s="1"/>
      <c r="EZ1487" s="1"/>
      <c r="FA1487" s="1"/>
      <c r="FB1487" s="1"/>
      <c r="FC1487" s="1"/>
      <c r="FD1487" s="1"/>
      <c r="FE1487" s="1"/>
      <c r="FF1487" s="1"/>
      <c r="FG1487" s="1"/>
      <c r="FH1487" s="1"/>
      <c r="FI1487" s="1"/>
      <c r="FJ1487" s="1"/>
      <c r="FK1487" s="1"/>
      <c r="FL1487" s="1"/>
      <c r="FM1487" s="1"/>
      <c r="FN1487" s="1"/>
      <c r="FO1487" s="1"/>
      <c r="FP1487" s="1"/>
      <c r="FQ1487" s="1"/>
      <c r="FR1487" s="1"/>
      <c r="FS1487" s="1"/>
      <c r="FT1487" s="1"/>
      <c r="FU1487" s="1"/>
      <c r="FV1487" s="1"/>
      <c r="FW1487" s="1"/>
      <c r="FX1487" s="1"/>
      <c r="FY1487" s="1"/>
      <c r="FZ1487" s="1"/>
      <c r="GA1487" s="1"/>
      <c r="GB1487" s="1"/>
      <c r="GC1487" s="1"/>
      <c r="GD1487" s="1"/>
      <c r="GE1487" s="1"/>
      <c r="GF1487" s="1"/>
      <c r="GG1487" s="1"/>
      <c r="GH1487" s="1"/>
      <c r="GI1487" s="1"/>
      <c r="GJ1487" s="1"/>
      <c r="GK1487" s="1"/>
      <c r="GL1487" s="1"/>
      <c r="GM1487" s="1"/>
      <c r="GN1487" s="1"/>
      <c r="GO1487" s="1"/>
      <c r="GP1487" s="1"/>
      <c r="GQ1487" s="1"/>
      <c r="GR1487" s="1"/>
      <c r="GS1487" s="1"/>
      <c r="GT1487" s="1"/>
      <c r="GU1487" s="1"/>
      <c r="GV1487" s="1"/>
      <c r="GW1487" s="1"/>
      <c r="GX1487" s="1"/>
      <c r="GY1487" s="1"/>
      <c r="GZ1487" s="1"/>
      <c r="HA1487" s="1"/>
      <c r="HB1487" s="1"/>
      <c r="HC1487" s="1"/>
      <c r="HD1487" s="1"/>
      <c r="HE1487" s="1"/>
      <c r="HF1487" s="1"/>
      <c r="HG1487" s="1"/>
      <c r="HH1487" s="1"/>
      <c r="HI1487" s="1"/>
      <c r="HJ1487" s="1"/>
      <c r="HK1487" s="1"/>
      <c r="HL1487" s="1"/>
      <c r="HM1487" s="1"/>
      <c r="HN1487" s="1"/>
      <c r="HO1487" s="1"/>
      <c r="HP1487" s="1"/>
      <c r="HQ1487" s="1"/>
      <c r="HR1487" s="1"/>
      <c r="HS1487" s="1"/>
      <c r="HT1487" s="1"/>
      <c r="HU1487" s="1"/>
      <c r="HV1487" s="1"/>
      <c r="HW1487" s="1"/>
      <c r="HX1487" s="1"/>
      <c r="HY1487" s="1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  <c r="IU1487" s="1"/>
      <c r="IV1487" s="1"/>
      <c r="IW1487" s="1"/>
      <c r="IX1487" s="1"/>
      <c r="IY1487" s="1"/>
      <c r="IZ1487" s="1"/>
      <c r="JA1487" s="1"/>
      <c r="JB1487" s="1"/>
      <c r="JC1487" s="1"/>
      <c r="JD1487" s="1"/>
      <c r="JE1487" s="1"/>
      <c r="JF1487" s="1"/>
      <c r="JG1487" s="1"/>
      <c r="JH1487" s="1"/>
      <c r="JI1487" s="1"/>
      <c r="JJ1487" s="1"/>
      <c r="JK1487" s="1"/>
      <c r="JL1487" s="1"/>
      <c r="JM1487" s="1"/>
      <c r="JN1487" s="1"/>
      <c r="JO1487" s="1"/>
      <c r="JP1487" s="1"/>
      <c r="JQ1487" s="1"/>
      <c r="JR1487" s="1"/>
      <c r="JS1487" s="1"/>
      <c r="JT1487" s="1"/>
      <c r="JU1487" s="1"/>
      <c r="JV1487" s="1"/>
      <c r="JW1487" s="1"/>
      <c r="JX1487" s="1"/>
      <c r="JY1487" s="1"/>
      <c r="JZ1487" s="1"/>
      <c r="KA1487" s="1"/>
      <c r="KB1487" s="1"/>
      <c r="KC1487" s="1"/>
      <c r="KD1487" s="1"/>
      <c r="KE1487" s="1"/>
      <c r="KF1487" s="1"/>
      <c r="KG1487" s="1"/>
      <c r="KH1487" s="1"/>
      <c r="KI1487" s="1"/>
      <c r="KJ1487" s="1"/>
      <c r="KK1487" s="1"/>
      <c r="KL1487" s="1"/>
      <c r="KM1487" s="1"/>
      <c r="KN1487" s="1"/>
      <c r="KO1487" s="1"/>
      <c r="KP1487" s="1"/>
      <c r="KQ1487" s="1"/>
      <c r="KR1487" s="1"/>
      <c r="KS1487" s="1"/>
      <c r="KT1487" s="1"/>
      <c r="KU1487" s="1"/>
      <c r="KV1487" s="1"/>
      <c r="KW1487" s="1"/>
      <c r="KX1487" s="1"/>
      <c r="KY1487" s="1"/>
      <c r="KZ1487" s="1"/>
      <c r="LA1487" s="1"/>
      <c r="LB1487" s="1"/>
      <c r="LC1487" s="1"/>
      <c r="LD1487" s="1"/>
      <c r="LE1487" s="1"/>
      <c r="LF1487" s="1"/>
      <c r="LG1487" s="1"/>
      <c r="LH1487" s="1"/>
      <c r="LI1487" s="1"/>
      <c r="LJ1487" s="1"/>
      <c r="LK1487" s="1"/>
      <c r="LL1487" s="1"/>
      <c r="LM1487" s="1"/>
      <c r="LN1487" s="1"/>
      <c r="LO1487" s="1"/>
      <c r="LP1487" s="1"/>
      <c r="LQ1487" s="1"/>
      <c r="LR1487" s="1"/>
      <c r="LS1487" s="1"/>
      <c r="LT1487" s="1"/>
      <c r="LU1487" s="1"/>
      <c r="LV1487" s="1"/>
      <c r="LW1487" s="1"/>
      <c r="LX1487" s="1"/>
      <c r="LY1487" s="1"/>
      <c r="LZ1487" s="1"/>
      <c r="MA1487" s="1"/>
      <c r="MB1487" s="1"/>
      <c r="MC1487" s="1"/>
      <c r="MD1487" s="1"/>
      <c r="ME1487" s="1"/>
      <c r="MF1487" s="1"/>
      <c r="MG1487" s="1"/>
      <c r="MH1487" s="1"/>
      <c r="MI1487" s="1"/>
      <c r="MJ1487" s="1"/>
      <c r="MK1487" s="1"/>
      <c r="ML1487" s="1"/>
      <c r="MM1487" s="1"/>
      <c r="MN1487" s="1"/>
      <c r="MO1487" s="1"/>
      <c r="MP1487" s="1"/>
      <c r="MQ1487" s="1"/>
      <c r="MR1487" s="1"/>
      <c r="MS1487" s="1"/>
      <c r="MT1487" s="1"/>
      <c r="MU1487" s="1"/>
      <c r="MV1487" s="1"/>
      <c r="MW1487" s="1"/>
      <c r="MX1487" s="1"/>
      <c r="MY1487" s="1"/>
      <c r="MZ1487" s="1"/>
      <c r="NA1487" s="1"/>
      <c r="NB1487" s="1"/>
      <c r="NC1487" s="1"/>
      <c r="ND1487" s="1"/>
      <c r="NE1487" s="1"/>
      <c r="NF1487" s="1"/>
      <c r="NG1487" s="1"/>
      <c r="NH1487" s="1"/>
      <c r="NI1487" s="1"/>
      <c r="NJ1487" s="1"/>
      <c r="NK1487" s="1"/>
      <c r="NL1487" s="1"/>
      <c r="NM1487" s="1"/>
      <c r="NN1487" s="1"/>
      <c r="NO1487" s="1"/>
      <c r="NP1487" s="1"/>
      <c r="NQ1487" s="1"/>
      <c r="NR1487" s="1"/>
      <c r="NS1487" s="1"/>
      <c r="NT1487" s="1"/>
      <c r="NU1487" s="1"/>
      <c r="NV1487" s="1"/>
      <c r="NW1487" s="1"/>
      <c r="NX1487" s="1"/>
      <c r="NY1487" s="1"/>
      <c r="NZ1487" s="1"/>
      <c r="OA1487" s="1"/>
      <c r="OB1487" s="1"/>
      <c r="OC1487" s="1"/>
      <c r="OD1487" s="1"/>
      <c r="OE1487" s="1"/>
      <c r="OF1487" s="1"/>
      <c r="OG1487" s="1"/>
      <c r="OH1487" s="1"/>
      <c r="OI1487" s="1"/>
      <c r="OJ1487" s="1"/>
      <c r="OK1487" s="1"/>
      <c r="OL1487" s="1"/>
      <c r="OM1487" s="1"/>
      <c r="ON1487" s="1"/>
      <c r="OO1487" s="1"/>
      <c r="OP1487" s="1"/>
      <c r="OQ1487" s="1"/>
      <c r="OR1487" s="1"/>
      <c r="OS1487" s="1"/>
      <c r="OT1487" s="1"/>
      <c r="OU1487" s="1"/>
      <c r="OV1487" s="1"/>
      <c r="OW1487" s="1"/>
      <c r="OX1487" s="1"/>
      <c r="OY1487" s="1"/>
      <c r="OZ1487" s="1"/>
      <c r="PA1487" s="1"/>
      <c r="PB1487" s="1"/>
      <c r="PC1487" s="1"/>
      <c r="PD1487" s="1"/>
      <c r="PE1487" s="1"/>
      <c r="PF1487" s="1"/>
      <c r="PG1487" s="1"/>
      <c r="PH1487" s="1"/>
      <c r="PI1487" s="1"/>
      <c r="PJ1487" s="1"/>
      <c r="PK1487" s="1"/>
      <c r="PL1487" s="1"/>
      <c r="PM1487" s="1"/>
      <c r="PN1487" s="1"/>
      <c r="PO1487" s="1"/>
      <c r="PP1487" s="1"/>
      <c r="PQ1487" s="1"/>
      <c r="PR1487" s="1"/>
      <c r="PS1487" s="1"/>
      <c r="PT1487" s="1"/>
      <c r="PU1487" s="1"/>
      <c r="PV1487" s="1"/>
      <c r="PW1487" s="1"/>
      <c r="PX1487" s="1"/>
      <c r="PY1487" s="1"/>
      <c r="PZ1487" s="1"/>
      <c r="QA1487" s="1"/>
      <c r="QB1487" s="1"/>
      <c r="QC1487" s="1"/>
      <c r="QD1487" s="1"/>
      <c r="QE1487" s="1"/>
      <c r="QF1487" s="1"/>
      <c r="QG1487" s="1"/>
      <c r="QH1487" s="1"/>
      <c r="QI1487" s="1"/>
      <c r="QJ1487" s="1"/>
      <c r="QK1487" s="1"/>
      <c r="QL1487" s="1"/>
      <c r="QM1487" s="1"/>
      <c r="QN1487" s="1"/>
      <c r="QO1487" s="1"/>
      <c r="QP1487" s="1"/>
      <c r="QQ1487" s="1"/>
      <c r="QR1487" s="1"/>
      <c r="QS1487" s="1"/>
      <c r="QT1487" s="1"/>
      <c r="QU1487" s="1"/>
      <c r="QV1487" s="1"/>
      <c r="QW1487" s="1"/>
      <c r="QX1487" s="1"/>
      <c r="QY1487" s="1"/>
      <c r="QZ1487" s="1"/>
      <c r="RA1487" s="1"/>
      <c r="RB1487" s="1"/>
      <c r="RC1487" s="1"/>
      <c r="RD1487" s="1"/>
      <c r="RE1487" s="1"/>
      <c r="RF1487" s="1"/>
      <c r="RG1487" s="1"/>
      <c r="RH1487" s="1"/>
      <c r="RI1487" s="1"/>
      <c r="RJ1487" s="1"/>
      <c r="RK1487" s="1"/>
      <c r="RL1487" s="1"/>
      <c r="RM1487" s="1"/>
      <c r="RN1487" s="1"/>
      <c r="RO1487" s="1"/>
      <c r="RP1487" s="1"/>
      <c r="RQ1487" s="1"/>
      <c r="RR1487" s="1"/>
      <c r="RS1487" s="1"/>
      <c r="RT1487" s="1"/>
      <c r="RU1487" s="1"/>
      <c r="RV1487" s="1"/>
      <c r="RW1487" s="1"/>
      <c r="RX1487" s="1"/>
      <c r="RY1487" s="1"/>
      <c r="RZ1487" s="1"/>
      <c r="SA1487" s="1"/>
      <c r="SB1487" s="1"/>
      <c r="SC1487" s="1"/>
      <c r="SD1487" s="1"/>
      <c r="SE1487" s="1"/>
      <c r="SF1487" s="1"/>
      <c r="SG1487" s="1"/>
      <c r="SH1487" s="1"/>
      <c r="SI1487" s="1"/>
      <c r="SJ1487" s="1"/>
      <c r="SK1487" s="1"/>
      <c r="SL1487" s="1"/>
      <c r="SM1487" s="1"/>
      <c r="SN1487" s="1"/>
      <c r="SO1487" s="1"/>
      <c r="SP1487" s="1"/>
      <c r="SQ1487" s="1"/>
      <c r="SR1487" s="1"/>
      <c r="SS1487" s="1"/>
      <c r="ST1487" s="1"/>
      <c r="SU1487" s="1"/>
      <c r="SV1487" s="1"/>
      <c r="SW1487" s="1"/>
      <c r="SX1487" s="1"/>
      <c r="SY1487" s="1"/>
      <c r="SZ1487" s="1"/>
      <c r="TA1487" s="1"/>
      <c r="TB1487" s="1"/>
      <c r="TC1487" s="1"/>
      <c r="TD1487" s="1"/>
      <c r="TE1487" s="1"/>
      <c r="TF1487" s="1"/>
      <c r="TG1487" s="1"/>
      <c r="TH1487" s="1"/>
      <c r="TI1487" s="1"/>
      <c r="TJ1487" s="1"/>
      <c r="TK1487" s="1"/>
      <c r="TL1487" s="1"/>
      <c r="TM1487" s="1"/>
      <c r="TN1487" s="1"/>
      <c r="TO1487" s="1"/>
      <c r="TP1487" s="1"/>
      <c r="TQ1487" s="1"/>
      <c r="TR1487" s="1"/>
      <c r="TS1487" s="1"/>
      <c r="TT1487" s="1"/>
      <c r="TU1487" s="1"/>
      <c r="TV1487" s="1"/>
      <c r="TW1487" s="1"/>
      <c r="TX1487" s="1"/>
      <c r="TY1487" s="1"/>
      <c r="TZ1487" s="1"/>
      <c r="UA1487" s="1"/>
      <c r="UB1487" s="1"/>
      <c r="UC1487" s="1"/>
      <c r="UD1487" s="1"/>
      <c r="UE1487" s="1"/>
      <c r="UF1487" s="1"/>
      <c r="UG1487" s="1"/>
      <c r="UH1487" s="1"/>
      <c r="UI1487" s="1"/>
      <c r="UJ1487" s="1"/>
      <c r="UK1487" s="1"/>
      <c r="UL1487" s="1"/>
      <c r="UM1487" s="1"/>
      <c r="UN1487" s="1"/>
      <c r="UO1487" s="1"/>
      <c r="UP1487" s="1"/>
      <c r="UQ1487" s="1"/>
      <c r="UR1487" s="1"/>
      <c r="US1487" s="1"/>
      <c r="UT1487" s="1"/>
      <c r="UU1487" s="1"/>
      <c r="UV1487" s="1"/>
      <c r="UW1487" s="1"/>
      <c r="UX1487" s="1"/>
      <c r="UY1487" s="1"/>
      <c r="UZ1487" s="1"/>
      <c r="VA1487" s="1"/>
      <c r="VB1487" s="1"/>
      <c r="VC1487" s="1"/>
      <c r="VD1487" s="1"/>
      <c r="VE1487" s="1"/>
      <c r="VF1487" s="1"/>
      <c r="VG1487" s="1"/>
      <c r="VH1487" s="1"/>
      <c r="VI1487" s="1"/>
      <c r="VJ1487" s="1"/>
      <c r="VK1487" s="1"/>
      <c r="VL1487" s="1"/>
      <c r="VM1487" s="1"/>
      <c r="VN1487" s="1"/>
      <c r="VO1487" s="1"/>
      <c r="VP1487" s="1"/>
      <c r="VQ1487" s="1"/>
      <c r="VR1487" s="1"/>
      <c r="VS1487" s="1"/>
      <c r="VT1487" s="1"/>
      <c r="VU1487" s="1"/>
      <c r="VV1487" s="1"/>
      <c r="VW1487" s="1"/>
      <c r="VX1487" s="1"/>
      <c r="VY1487" s="1"/>
      <c r="VZ1487" s="1"/>
      <c r="WA1487" s="1"/>
      <c r="WB1487" s="1"/>
      <c r="WC1487" s="1"/>
      <c r="WD1487" s="1"/>
      <c r="WE1487" s="1"/>
      <c r="WF1487" s="1"/>
      <c r="WG1487" s="1"/>
      <c r="WH1487" s="1"/>
      <c r="WI1487" s="1"/>
      <c r="WJ1487" s="1"/>
      <c r="WK1487" s="1"/>
      <c r="WL1487" s="1"/>
      <c r="WM1487" s="1"/>
      <c r="WN1487" s="1"/>
      <c r="WO1487" s="1"/>
      <c r="WP1487" s="1"/>
      <c r="WQ1487" s="1"/>
      <c r="WR1487" s="1"/>
      <c r="WS1487" s="1"/>
      <c r="WT1487" s="1"/>
      <c r="WU1487" s="1"/>
      <c r="WV1487" s="1"/>
      <c r="WW1487" s="1"/>
      <c r="WX1487" s="1"/>
      <c r="WY1487" s="1"/>
      <c r="WZ1487" s="1"/>
      <c r="XA1487" s="1"/>
      <c r="XB1487" s="1"/>
      <c r="XC1487" s="1"/>
      <c r="XD1487" s="1"/>
      <c r="XE1487" s="1"/>
      <c r="XF1487" s="1"/>
      <c r="XG1487" s="1"/>
      <c r="XH1487" s="1"/>
      <c r="XI1487" s="1"/>
      <c r="XJ1487" s="1"/>
      <c r="XK1487" s="1"/>
      <c r="XL1487" s="1"/>
      <c r="XM1487" s="1"/>
      <c r="XN1487" s="1"/>
      <c r="XO1487" s="1"/>
      <c r="XP1487" s="1"/>
      <c r="XQ1487" s="1"/>
      <c r="XR1487" s="1"/>
      <c r="XS1487" s="1"/>
      <c r="XT1487" s="1"/>
      <c r="XU1487" s="1"/>
      <c r="XV1487" s="1"/>
      <c r="XW1487" s="1"/>
      <c r="XX1487" s="1"/>
      <c r="XY1487" s="1"/>
      <c r="XZ1487" s="1"/>
      <c r="YA1487" s="1"/>
      <c r="YB1487" s="1"/>
      <c r="YC1487" s="1"/>
      <c r="YD1487" s="1"/>
      <c r="YE1487" s="1"/>
      <c r="YF1487" s="1"/>
      <c r="YG1487" s="1"/>
      <c r="YH1487" s="1"/>
      <c r="YI1487" s="1"/>
      <c r="YJ1487" s="1"/>
      <c r="YK1487" s="1"/>
      <c r="YL1487" s="1"/>
      <c r="YM1487" s="1"/>
      <c r="YN1487" s="1"/>
      <c r="YO1487" s="1"/>
      <c r="YP1487" s="1"/>
      <c r="YQ1487" s="1"/>
      <c r="YR1487" s="1"/>
      <c r="YS1487" s="1"/>
      <c r="YT1487" s="1"/>
      <c r="YU1487" s="1"/>
      <c r="YV1487" s="1"/>
      <c r="YW1487" s="1"/>
      <c r="YX1487" s="1"/>
      <c r="YY1487" s="1"/>
      <c r="YZ1487" s="1"/>
      <c r="ZA1487" s="1"/>
      <c r="ZB1487" s="1"/>
      <c r="ZC1487" s="1"/>
      <c r="ZD1487" s="1"/>
      <c r="ZE1487" s="1"/>
      <c r="ZF1487" s="1"/>
      <c r="ZG1487" s="1"/>
      <c r="ZH1487" s="1"/>
      <c r="ZI1487" s="1"/>
      <c r="ZJ1487" s="1"/>
      <c r="ZK1487" s="1"/>
      <c r="ZL1487" s="1"/>
      <c r="ZM1487" s="1"/>
      <c r="ZN1487" s="1"/>
      <c r="ZO1487" s="1"/>
      <c r="ZP1487" s="1"/>
      <c r="ZQ1487" s="1"/>
      <c r="ZR1487" s="1"/>
      <c r="ZS1487" s="1"/>
      <c r="ZT1487" s="1"/>
      <c r="ZU1487" s="1"/>
      <c r="ZV1487" s="1"/>
      <c r="ZW1487" s="1"/>
      <c r="ZX1487" s="1"/>
      <c r="ZY1487" s="1"/>
      <c r="ZZ1487" s="1"/>
      <c r="AAA1487" s="1"/>
      <c r="AAB1487" s="1"/>
      <c r="AAC1487" s="1"/>
      <c r="AAD1487" s="1"/>
      <c r="AAE1487" s="1"/>
      <c r="AAF1487" s="1"/>
      <c r="AAG1487" s="1"/>
      <c r="AAH1487" s="1"/>
      <c r="AAI1487" s="1"/>
      <c r="AAJ1487" s="1"/>
      <c r="AAK1487" s="1"/>
      <c r="AAL1487" s="1"/>
      <c r="AAM1487" s="1"/>
      <c r="AAN1487" s="1"/>
      <c r="AAO1487" s="1"/>
      <c r="AAP1487" s="1"/>
      <c r="AAQ1487" s="1"/>
      <c r="AAR1487" s="1"/>
      <c r="AAS1487" s="1"/>
      <c r="AAT1487" s="1"/>
      <c r="AAU1487" s="1"/>
      <c r="AAV1487" s="1"/>
      <c r="AAW1487" s="1"/>
      <c r="AAX1487" s="1"/>
      <c r="AAY1487" s="1"/>
      <c r="AAZ1487" s="1"/>
      <c r="ABA1487" s="1"/>
      <c r="ABB1487" s="1"/>
      <c r="ABC1487" s="1"/>
      <c r="ABD1487" s="1"/>
      <c r="ABE1487" s="1"/>
      <c r="ABF1487" s="1"/>
      <c r="ABG1487" s="1"/>
      <c r="ABH1487" s="1"/>
      <c r="ABI1487" s="1"/>
      <c r="ABJ1487" s="1"/>
      <c r="ABK1487" s="1"/>
      <c r="ABL1487" s="1"/>
      <c r="ABM1487" s="1"/>
      <c r="ABN1487" s="1"/>
      <c r="ABO1487" s="1"/>
      <c r="ABP1487" s="1"/>
      <c r="ABQ1487" s="1"/>
      <c r="ABR1487" s="1"/>
      <c r="ABS1487" s="1"/>
      <c r="ABT1487" s="1"/>
      <c r="ABU1487" s="1"/>
      <c r="ABV1487" s="1"/>
      <c r="ABW1487" s="1"/>
      <c r="ABX1487" s="1"/>
      <c r="ABY1487" s="1"/>
      <c r="ABZ1487" s="1"/>
      <c r="ACA1487" s="1"/>
      <c r="ACB1487" s="1"/>
      <c r="ACC1487" s="1"/>
      <c r="ACD1487" s="1"/>
      <c r="ACE1487" s="1"/>
      <c r="ACF1487" s="1"/>
      <c r="ACG1487" s="1"/>
      <c r="ACH1487" s="1"/>
      <c r="ACI1487" s="1"/>
      <c r="ACJ1487" s="1"/>
      <c r="ACK1487" s="1"/>
      <c r="ACL1487" s="1"/>
      <c r="ACM1487" s="1"/>
      <c r="ACN1487" s="1"/>
      <c r="ACO1487" s="1"/>
      <c r="ACP1487" s="1"/>
      <c r="ACQ1487" s="1"/>
      <c r="ACR1487" s="1"/>
      <c r="ACS1487" s="1"/>
      <c r="ACT1487" s="1"/>
      <c r="ACU1487" s="1"/>
      <c r="ACV1487" s="1"/>
      <c r="ACW1487" s="1"/>
      <c r="ACX1487" s="1"/>
      <c r="ACY1487" s="1"/>
      <c r="ACZ1487" s="1"/>
      <c r="ADA1487" s="1"/>
      <c r="ADB1487" s="1"/>
      <c r="ADC1487" s="1"/>
      <c r="ADD1487" s="1"/>
      <c r="ADE1487" s="1"/>
      <c r="ADF1487" s="1"/>
      <c r="ADG1487" s="1"/>
      <c r="ADH1487" s="1"/>
      <c r="ADI1487" s="1"/>
      <c r="ADJ1487" s="1"/>
      <c r="ADK1487" s="1"/>
      <c r="ADL1487" s="1"/>
      <c r="ADM1487" s="1"/>
      <c r="ADN1487" s="1"/>
      <c r="ADO1487" s="1"/>
      <c r="ADP1487" s="1"/>
      <c r="ADQ1487" s="1"/>
      <c r="ADR1487" s="1"/>
      <c r="ADS1487" s="1"/>
      <c r="ADT1487" s="1"/>
      <c r="ADU1487" s="1"/>
      <c r="ADV1487" s="1"/>
      <c r="ADW1487" s="1"/>
      <c r="ADX1487" s="1"/>
      <c r="ADY1487" s="1"/>
      <c r="ADZ1487" s="1"/>
      <c r="AEA1487" s="1"/>
      <c r="AEB1487" s="1"/>
      <c r="AEC1487" s="1"/>
      <c r="AED1487" s="1"/>
      <c r="AEE1487" s="1"/>
      <c r="AEF1487" s="1"/>
      <c r="AEG1487" s="1"/>
      <c r="AEH1487" s="1"/>
      <c r="AEI1487" s="1"/>
      <c r="AEJ1487" s="1"/>
      <c r="AEK1487" s="1"/>
      <c r="AEL1487" s="1"/>
      <c r="AEM1487" s="1"/>
      <c r="AEN1487" s="1"/>
      <c r="AEO1487" s="1"/>
      <c r="AEP1487" s="1"/>
      <c r="AEQ1487" s="1"/>
      <c r="AER1487" s="1"/>
      <c r="AES1487" s="1"/>
      <c r="AET1487" s="1"/>
      <c r="AEU1487" s="1"/>
      <c r="AEV1487" s="1"/>
      <c r="AEW1487" s="1"/>
      <c r="AEX1487" s="1"/>
      <c r="AEY1487" s="1"/>
      <c r="AEZ1487" s="1"/>
      <c r="AFA1487" s="1"/>
      <c r="AFB1487" s="1"/>
      <c r="AFC1487" s="1"/>
      <c r="AFD1487" s="1"/>
      <c r="AFE1487" s="1"/>
      <c r="AFF1487" s="1"/>
      <c r="AFG1487" s="1"/>
      <c r="AFH1487" s="1"/>
      <c r="AFI1487" s="1"/>
      <c r="AFJ1487" s="1"/>
      <c r="AFK1487" s="1"/>
      <c r="AFL1487" s="1"/>
      <c r="AFM1487" s="1"/>
      <c r="AFN1487" s="1"/>
      <c r="AFO1487" s="1"/>
      <c r="AFP1487" s="1"/>
      <c r="AFQ1487" s="1"/>
      <c r="AFR1487" s="1"/>
      <c r="AFS1487" s="1"/>
      <c r="AFT1487" s="1"/>
      <c r="AFU1487" s="1"/>
      <c r="AFV1487" s="1"/>
      <c r="AFW1487" s="1"/>
      <c r="AFX1487" s="1"/>
      <c r="AFY1487" s="1"/>
      <c r="AFZ1487" s="1"/>
      <c r="AGA1487" s="1"/>
      <c r="AGB1487" s="1"/>
      <c r="AGC1487" s="1"/>
      <c r="AGD1487" s="1"/>
      <c r="AGE1487" s="1"/>
      <c r="AGF1487" s="1"/>
      <c r="AGG1487" s="1"/>
      <c r="AGH1487" s="1"/>
      <c r="AGI1487" s="1"/>
      <c r="AGJ1487" s="1"/>
      <c r="AGK1487" s="1"/>
      <c r="AGL1487" s="1"/>
      <c r="AGM1487" s="1"/>
      <c r="AGN1487" s="1"/>
      <c r="AGO1487" s="1"/>
      <c r="AGP1487" s="1"/>
      <c r="AGQ1487" s="1"/>
      <c r="AGR1487" s="1"/>
      <c r="AGS1487" s="1"/>
      <c r="AGT1487" s="1"/>
      <c r="AGU1487" s="1"/>
      <c r="AGV1487" s="1"/>
      <c r="AGW1487" s="1"/>
      <c r="AGX1487" s="1"/>
      <c r="AGY1487" s="1"/>
      <c r="AGZ1487" s="1"/>
      <c r="AHA1487" s="1"/>
      <c r="AHB1487" s="1"/>
      <c r="AHC1487" s="1"/>
      <c r="AHD1487" s="1"/>
      <c r="AHE1487" s="1"/>
      <c r="AHF1487" s="1"/>
      <c r="AHG1487" s="1"/>
      <c r="AHH1487" s="1"/>
      <c r="AHI1487" s="1"/>
      <c r="AHJ1487" s="1"/>
      <c r="AHK1487" s="1"/>
      <c r="AHL1487" s="1"/>
      <c r="AHM1487" s="1"/>
      <c r="AHN1487" s="1"/>
      <c r="AHO1487" s="1"/>
      <c r="AHP1487" s="1"/>
      <c r="AHQ1487" s="1"/>
      <c r="AHR1487" s="1"/>
      <c r="AHS1487" s="1"/>
      <c r="AHT1487" s="1"/>
      <c r="AHU1487" s="1"/>
      <c r="AHV1487" s="1"/>
      <c r="AHW1487" s="1"/>
      <c r="AHX1487" s="1"/>
      <c r="AHY1487" s="1"/>
      <c r="AHZ1487" s="1"/>
      <c r="AIA1487" s="1"/>
      <c r="AIB1487" s="1"/>
      <c r="AIC1487" s="1"/>
      <c r="AID1487" s="1"/>
      <c r="AIE1487" s="1"/>
      <c r="AIF1487" s="1"/>
      <c r="AIG1487" s="1"/>
      <c r="AIH1487" s="1"/>
      <c r="AII1487" s="1"/>
      <c r="AIJ1487" s="1"/>
      <c r="AIK1487" s="1"/>
      <c r="AIL1487" s="1"/>
      <c r="AIM1487" s="1"/>
      <c r="AIN1487" s="1"/>
      <c r="AIO1487" s="1"/>
      <c r="AIP1487" s="1"/>
      <c r="AIQ1487" s="1"/>
      <c r="AIR1487" s="1"/>
      <c r="AIS1487" s="1"/>
      <c r="AIT1487" s="1"/>
      <c r="AIU1487" s="1"/>
      <c r="AIV1487" s="1"/>
      <c r="AIW1487" s="1"/>
      <c r="AIX1487" s="1"/>
      <c r="AIY1487" s="1"/>
      <c r="AIZ1487" s="1"/>
      <c r="AJA1487" s="1"/>
      <c r="AJB1487" s="1"/>
      <c r="AJC1487" s="1"/>
      <c r="AJD1487" s="1"/>
      <c r="AJE1487" s="1"/>
      <c r="AJF1487" s="1"/>
      <c r="AJG1487" s="1"/>
      <c r="AJH1487" s="1"/>
      <c r="AJI1487" s="1"/>
      <c r="AJJ1487" s="1"/>
      <c r="AJK1487" s="1"/>
      <c r="AJL1487" s="1"/>
      <c r="AJM1487" s="1"/>
      <c r="AJN1487" s="1"/>
      <c r="AJO1487" s="1"/>
      <c r="AJP1487" s="1"/>
      <c r="AJQ1487" s="1"/>
      <c r="AJR1487" s="1"/>
      <c r="AJS1487" s="1"/>
      <c r="AJT1487" s="1"/>
      <c r="AJU1487" s="1"/>
      <c r="AJV1487" s="1"/>
      <c r="AJW1487" s="1"/>
      <c r="AJX1487" s="1"/>
      <c r="AJY1487" s="1"/>
      <c r="AJZ1487" s="1"/>
      <c r="AKA1487" s="1"/>
      <c r="AKB1487" s="1"/>
      <c r="AKC1487" s="1"/>
      <c r="AKD1487" s="1"/>
      <c r="AKE1487" s="1"/>
      <c r="AKF1487" s="1"/>
      <c r="AKG1487" s="1"/>
      <c r="AKH1487" s="1"/>
      <c r="AKI1487" s="1"/>
      <c r="AKJ1487" s="1"/>
      <c r="AKK1487" s="1"/>
      <c r="AKL1487" s="1"/>
      <c r="AKM1487" s="1"/>
      <c r="AKN1487" s="1"/>
      <c r="AKO1487" s="1"/>
      <c r="AKP1487" s="1"/>
      <c r="AKQ1487" s="1"/>
      <c r="AKR1487" s="1"/>
      <c r="AKS1487" s="1"/>
      <c r="AKT1487" s="1"/>
      <c r="AKU1487" s="1"/>
      <c r="AKV1487" s="1"/>
      <c r="AKW1487" s="1"/>
      <c r="AKX1487" s="1"/>
      <c r="AKY1487" s="1"/>
      <c r="AKZ1487" s="1"/>
      <c r="ALA1487" s="1"/>
      <c r="ALB1487" s="1"/>
      <c r="ALC1487" s="1"/>
      <c r="ALD1487" s="1"/>
      <c r="ALE1487" s="1"/>
      <c r="ALF1487" s="1"/>
      <c r="ALG1487" s="1"/>
      <c r="ALH1487" s="1"/>
      <c r="ALI1487" s="1"/>
      <c r="ALJ1487" s="1"/>
      <c r="ALK1487" s="1"/>
      <c r="ALL1487" s="1"/>
      <c r="ALM1487" s="1"/>
      <c r="ALN1487" s="1"/>
      <c r="ALO1487" s="1"/>
      <c r="ALP1487" s="1"/>
      <c r="ALQ1487" s="1"/>
      <c r="ALR1487" s="1"/>
      <c r="ALS1487" s="1"/>
      <c r="ALT1487" s="1"/>
      <c r="ALU1487" s="1"/>
      <c r="ALV1487" s="1"/>
      <c r="ALW1487" s="1"/>
      <c r="ALX1487" s="1"/>
      <c r="ALY1487" s="1"/>
      <c r="ALZ1487" s="1"/>
      <c r="AMA1487" s="1"/>
      <c r="AMB1487" s="1"/>
      <c r="AMC1487" s="1"/>
      <c r="AMD1487" s="1"/>
      <c r="AME1487" s="1"/>
      <c r="AMF1487" s="1"/>
      <c r="AMG1487" s="1"/>
      <c r="AMH1487" s="1"/>
      <c r="AMI1487" s="1"/>
      <c r="AMJ1487" s="1"/>
      <c r="AMK1487" s="1"/>
    </row>
    <row r="1488" spans="1:1025" s="171" customFormat="1" ht="32.85" customHeight="1" x14ac:dyDescent="0.3">
      <c r="A1488" s="166" t="s">
        <v>1048</v>
      </c>
      <c r="B1488" s="167"/>
      <c r="C1488" s="167"/>
      <c r="D1488" s="167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6"/>
      <c r="T1488" s="168"/>
      <c r="U1488" s="168"/>
      <c r="V1488" s="166"/>
      <c r="W1488" s="166"/>
      <c r="X1488" s="166"/>
      <c r="Y1488" s="166"/>
      <c r="Z1488" s="166"/>
      <c r="AA1488" s="166"/>
      <c r="AB1488" s="166"/>
      <c r="AC1488" s="166"/>
      <c r="AD1488" s="271"/>
      <c r="AE1488" s="271"/>
      <c r="AF1488" s="271"/>
      <c r="AG1488" s="169"/>
      <c r="AH1488" s="169"/>
      <c r="AI1488" s="169"/>
      <c r="AJ1488" s="169"/>
      <c r="AK1488" s="169"/>
      <c r="AL1488" s="169"/>
      <c r="AM1488" s="169"/>
      <c r="AN1488" s="169"/>
      <c r="AO1488" s="169"/>
      <c r="AP1488" s="169"/>
      <c r="AQ1488" s="169"/>
      <c r="AR1488" s="169"/>
      <c r="AS1488" s="170"/>
      <c r="AT1488" s="170"/>
      <c r="AU1488" s="170"/>
      <c r="AV1488" s="170"/>
      <c r="AW1488" s="170"/>
      <c r="AX1488" s="170"/>
      <c r="AY1488" s="170"/>
      <c r="AZ1488" s="170"/>
      <c r="BA1488" s="170"/>
      <c r="BB1488" s="170"/>
      <c r="BC1488" s="170"/>
      <c r="BD1488" s="170"/>
      <c r="BE1488" s="170"/>
      <c r="BF1488" s="170"/>
      <c r="BG1488" s="170"/>
      <c r="BH1488" s="170"/>
      <c r="BI1488" s="170"/>
      <c r="BJ1488" s="170"/>
      <c r="BK1488" s="170"/>
      <c r="BL1488" s="170"/>
      <c r="BM1488" s="170"/>
      <c r="BN1488" s="170"/>
      <c r="BO1488" s="170"/>
      <c r="BP1488" s="170"/>
      <c r="BQ1488" s="170"/>
      <c r="BR1488" s="170"/>
      <c r="BS1488" s="170"/>
      <c r="BT1488" s="170"/>
      <c r="BU1488" s="170"/>
      <c r="BV1488" s="170"/>
      <c r="BW1488" s="170"/>
      <c r="BX1488" s="170"/>
      <c r="BY1488" s="170"/>
      <c r="BZ1488" s="170"/>
      <c r="CA1488" s="170"/>
      <c r="CB1488" s="170"/>
      <c r="CC1488" s="170"/>
      <c r="CD1488" s="170"/>
      <c r="CE1488" s="170"/>
      <c r="CF1488" s="170"/>
      <c r="CG1488" s="170"/>
      <c r="CH1488" s="170"/>
    </row>
    <row r="1489" spans="1:86" s="171" customFormat="1" ht="35.450000000000003" customHeight="1" x14ac:dyDescent="0.3">
      <c r="A1489" s="1945" t="s">
        <v>1474</v>
      </c>
      <c r="B1489" s="1945"/>
      <c r="C1489" s="1945"/>
      <c r="D1489" s="1945"/>
      <c r="E1489" s="1945"/>
      <c r="F1489" s="1945"/>
      <c r="G1489" s="1945"/>
      <c r="H1489" s="1945"/>
      <c r="I1489" s="1945"/>
      <c r="J1489" s="1945"/>
      <c r="K1489" s="1945"/>
      <c r="L1489" s="1945"/>
      <c r="M1489" s="1945"/>
      <c r="N1489" s="1945"/>
      <c r="O1489" s="1945"/>
      <c r="P1489" s="1945"/>
      <c r="Q1489" s="1945"/>
      <c r="R1489" s="1945"/>
      <c r="S1489" s="1945"/>
      <c r="T1489" s="172"/>
      <c r="U1489" s="172"/>
      <c r="V1489" s="173"/>
      <c r="W1489" s="173"/>
      <c r="X1489" s="173"/>
      <c r="Y1489" s="173"/>
      <c r="Z1489" s="173"/>
      <c r="AA1489" s="173"/>
      <c r="AB1489" s="173"/>
      <c r="AC1489" s="173"/>
      <c r="AD1489" s="173"/>
      <c r="AE1489" s="173"/>
      <c r="AF1489" s="173"/>
      <c r="AG1489" s="173"/>
      <c r="AH1489" s="173"/>
      <c r="AI1489" s="173"/>
      <c r="AJ1489" s="173"/>
      <c r="AK1489" s="173"/>
      <c r="AL1489" s="173"/>
      <c r="AM1489" s="173"/>
      <c r="AN1489" s="173"/>
      <c r="AO1489" s="173"/>
      <c r="AP1489" s="173"/>
      <c r="AQ1489" s="173"/>
      <c r="AR1489" s="173"/>
      <c r="AS1489" s="170"/>
      <c r="AT1489" s="170"/>
      <c r="AU1489" s="170"/>
      <c r="AV1489" s="170"/>
      <c r="AW1489" s="170"/>
      <c r="AX1489" s="170"/>
      <c r="AY1489" s="170"/>
      <c r="AZ1489" s="170"/>
      <c r="BA1489" s="170"/>
      <c r="BB1489" s="170"/>
      <c r="BC1489" s="170"/>
      <c r="BD1489" s="170"/>
      <c r="BE1489" s="170"/>
      <c r="BF1489" s="170"/>
      <c r="BG1489" s="170"/>
      <c r="BH1489" s="170"/>
      <c r="BI1489" s="170"/>
      <c r="BJ1489" s="170"/>
      <c r="BK1489" s="170"/>
      <c r="BL1489" s="170"/>
      <c r="BM1489" s="170"/>
      <c r="BN1489" s="170"/>
      <c r="BO1489" s="170"/>
      <c r="BP1489" s="170"/>
      <c r="BQ1489" s="170"/>
      <c r="BR1489" s="170"/>
      <c r="BS1489" s="170"/>
      <c r="BT1489" s="170"/>
      <c r="BU1489" s="170"/>
      <c r="BV1489" s="170"/>
      <c r="BW1489" s="170"/>
      <c r="BX1489" s="170"/>
      <c r="BY1489" s="170"/>
      <c r="BZ1489" s="170"/>
      <c r="CA1489" s="170"/>
      <c r="CB1489" s="170"/>
      <c r="CC1489" s="170"/>
      <c r="CD1489" s="170"/>
      <c r="CE1489" s="170"/>
      <c r="CF1489" s="170"/>
      <c r="CG1489" s="170"/>
      <c r="CH1489" s="170"/>
    </row>
    <row r="1490" spans="1:86" s="31" customFormat="1" ht="58.5" customHeight="1" x14ac:dyDescent="0.25">
      <c r="A1490" s="873">
        <v>1</v>
      </c>
      <c r="B1490" s="873">
        <v>89869</v>
      </c>
      <c r="C1490" s="163" t="s">
        <v>51</v>
      </c>
      <c r="D1490" s="164">
        <v>256.39999999999998</v>
      </c>
      <c r="E1490" s="904"/>
      <c r="F1490" s="164">
        <v>99.84</v>
      </c>
      <c r="G1490" s="873"/>
      <c r="H1490" s="873"/>
      <c r="I1490" s="873"/>
      <c r="J1490" s="873"/>
      <c r="K1490" s="873"/>
      <c r="L1490" s="873"/>
      <c r="M1490" s="165"/>
      <c r="N1490" s="873"/>
      <c r="O1490" s="873"/>
      <c r="P1490" s="878"/>
      <c r="Q1490" s="873"/>
      <c r="R1490" s="123"/>
      <c r="S1490" s="587"/>
      <c r="T1490" s="873"/>
      <c r="U1490" s="873"/>
      <c r="V1490" s="878"/>
      <c r="W1490" s="873"/>
      <c r="X1490" s="873"/>
      <c r="Y1490" s="587"/>
      <c r="Z1490" s="873"/>
      <c r="AA1490" s="873"/>
      <c r="AB1490" s="878"/>
      <c r="AC1490" s="123"/>
      <c r="AD1490" s="123"/>
      <c r="AE1490" s="587"/>
      <c r="AF1490" s="873"/>
      <c r="AG1490" s="873"/>
      <c r="AH1490" s="878"/>
      <c r="AI1490" s="123"/>
      <c r="AJ1490" s="123"/>
      <c r="AK1490" s="587"/>
      <c r="AL1490" s="873"/>
      <c r="AM1490" s="873"/>
      <c r="AN1490" s="878"/>
      <c r="AO1490" s="123"/>
      <c r="AP1490" s="123"/>
      <c r="AQ1490" s="587"/>
      <c r="AR1490" s="883"/>
      <c r="AS1490" s="536"/>
    </row>
    <row r="1491" spans="1:86" s="21" customFormat="1" ht="59.85" customHeight="1" x14ac:dyDescent="0.2">
      <c r="A1491" s="61">
        <v>2</v>
      </c>
      <c r="B1491" s="878">
        <v>89869</v>
      </c>
      <c r="C1491" s="184" t="s">
        <v>44</v>
      </c>
      <c r="D1491" s="176">
        <v>11.782999999999999</v>
      </c>
      <c r="E1491" s="177">
        <f>29.55*1000*7</f>
        <v>206850</v>
      </c>
      <c r="F1491" s="176">
        <v>11.782999999999999</v>
      </c>
      <c r="G1491" s="177">
        <f>29.55*1000*7</f>
        <v>206850</v>
      </c>
      <c r="H1491" s="104"/>
      <c r="I1491" s="104"/>
      <c r="J1491" s="104"/>
      <c r="K1491" s="104"/>
      <c r="L1491" s="104"/>
      <c r="M1491" s="104"/>
      <c r="N1491" s="104"/>
      <c r="O1491" s="104"/>
      <c r="P1491" s="104"/>
      <c r="Q1491" s="104"/>
      <c r="R1491" s="104"/>
      <c r="S1491" s="104"/>
      <c r="T1491" s="61"/>
      <c r="U1491" s="61"/>
      <c r="V1491" s="104"/>
      <c r="W1491" s="104"/>
      <c r="X1491" s="104"/>
      <c r="Y1491" s="104"/>
      <c r="Z1491" s="104"/>
      <c r="AA1491" s="104"/>
      <c r="AB1491" s="104"/>
      <c r="AC1491" s="104"/>
      <c r="AD1491" s="104"/>
      <c r="AE1491" s="104"/>
      <c r="AF1491" s="104"/>
      <c r="AG1491" s="104"/>
      <c r="AH1491" s="104"/>
      <c r="AI1491" s="104"/>
      <c r="AJ1491" s="104"/>
      <c r="AK1491" s="104"/>
      <c r="AL1491" s="104"/>
      <c r="AM1491" s="104"/>
      <c r="AN1491" s="104"/>
      <c r="AO1491" s="104"/>
      <c r="AP1491" s="104"/>
      <c r="AQ1491" s="104"/>
      <c r="AR1491" s="104"/>
      <c r="AS1491" s="19"/>
      <c r="AT1491" s="19"/>
      <c r="AU1491" s="19"/>
      <c r="AV1491" s="19"/>
      <c r="AW1491" s="19"/>
      <c r="AX1491" s="19"/>
      <c r="AY1491" s="19"/>
      <c r="AZ1491" s="19"/>
      <c r="BA1491" s="19"/>
      <c r="BB1491" s="19"/>
      <c r="BC1491" s="19"/>
      <c r="BD1491" s="19"/>
      <c r="BE1491" s="19"/>
      <c r="BF1491" s="19"/>
      <c r="BG1491" s="19"/>
      <c r="BH1491" s="19"/>
      <c r="BI1491" s="19"/>
      <c r="BJ1491" s="19"/>
      <c r="BK1491" s="19"/>
      <c r="BL1491" s="19"/>
      <c r="BM1491" s="19"/>
      <c r="BN1491" s="19"/>
      <c r="BO1491" s="19"/>
      <c r="BP1491" s="19"/>
      <c r="BQ1491" s="19"/>
      <c r="BR1491" s="19"/>
      <c r="BS1491" s="19"/>
      <c r="BT1491" s="19"/>
      <c r="BU1491" s="19"/>
      <c r="BV1491" s="19"/>
      <c r="BW1491" s="19"/>
      <c r="BX1491" s="19"/>
      <c r="BY1491" s="19"/>
      <c r="BZ1491" s="19"/>
      <c r="CA1491" s="19"/>
      <c r="CB1491" s="19"/>
      <c r="CC1491" s="19"/>
      <c r="CD1491" s="19"/>
      <c r="CE1491" s="19"/>
      <c r="CF1491" s="19"/>
      <c r="CG1491" s="19"/>
      <c r="CH1491" s="19"/>
    </row>
    <row r="1492" spans="1:86" s="21" customFormat="1" ht="56.65" customHeight="1" x14ac:dyDescent="0.2">
      <c r="A1492" s="61">
        <v>3</v>
      </c>
      <c r="B1492" s="981">
        <v>89847</v>
      </c>
      <c r="C1492" s="185" t="s">
        <v>45</v>
      </c>
      <c r="D1492" s="178">
        <v>247.58099999999999</v>
      </c>
      <c r="E1492" s="177">
        <f>343.935*1000*7</f>
        <v>2407545</v>
      </c>
      <c r="F1492" s="902">
        <f>F1493</f>
        <v>37.171999999999997</v>
      </c>
      <c r="G1492" s="1139">
        <f>170593+207172+67500</f>
        <v>445265</v>
      </c>
      <c r="H1492" s="104"/>
      <c r="I1492" s="104"/>
      <c r="J1492" s="104"/>
      <c r="K1492" s="104"/>
      <c r="L1492" s="104"/>
      <c r="M1492" s="104"/>
      <c r="N1492" s="104"/>
      <c r="O1492" s="104"/>
      <c r="P1492" s="104"/>
      <c r="Q1492" s="104"/>
      <c r="R1492" s="104"/>
      <c r="S1492" s="104"/>
      <c r="T1492" s="61"/>
      <c r="U1492" s="61"/>
      <c r="V1492" s="104"/>
      <c r="W1492" s="104"/>
      <c r="X1492" s="104"/>
      <c r="Y1492" s="104"/>
      <c r="Z1492" s="104"/>
      <c r="AA1492" s="104"/>
      <c r="AB1492" s="104"/>
      <c r="AC1492" s="104"/>
      <c r="AD1492" s="104"/>
      <c r="AE1492" s="104"/>
      <c r="AF1492" s="104"/>
      <c r="AG1492" s="104"/>
      <c r="AH1492" s="104"/>
      <c r="AI1492" s="104"/>
      <c r="AJ1492" s="104"/>
      <c r="AK1492" s="104"/>
      <c r="AL1492" s="104"/>
      <c r="AM1492" s="104"/>
      <c r="AN1492" s="104"/>
      <c r="AO1492" s="104"/>
      <c r="AP1492" s="104"/>
      <c r="AQ1492" s="104"/>
      <c r="AR1492" s="104"/>
      <c r="AS1492" s="19"/>
      <c r="AT1492" s="19"/>
      <c r="AU1492" s="19"/>
      <c r="AV1492" s="19"/>
      <c r="AW1492" s="19"/>
      <c r="AX1492" s="19"/>
      <c r="AY1492" s="19"/>
      <c r="AZ1492" s="19"/>
      <c r="BA1492" s="19"/>
      <c r="BB1492" s="19"/>
      <c r="BC1492" s="19"/>
      <c r="BD1492" s="19"/>
      <c r="BE1492" s="19"/>
      <c r="BF1492" s="19"/>
      <c r="BG1492" s="19"/>
      <c r="BH1492" s="19"/>
      <c r="BI1492" s="19"/>
      <c r="BJ1492" s="19"/>
      <c r="BK1492" s="19"/>
      <c r="BL1492" s="19"/>
      <c r="BM1492" s="19"/>
      <c r="BN1492" s="19"/>
      <c r="BO1492" s="19"/>
      <c r="BP1492" s="19"/>
      <c r="BQ1492" s="19"/>
      <c r="BR1492" s="19"/>
      <c r="BS1492" s="19"/>
      <c r="BT1492" s="19"/>
      <c r="BU1492" s="19"/>
      <c r="BV1492" s="19"/>
      <c r="BW1492" s="19"/>
      <c r="BX1492" s="19"/>
      <c r="BY1492" s="19"/>
      <c r="BZ1492" s="19"/>
      <c r="CA1492" s="19"/>
      <c r="CB1492" s="19"/>
      <c r="CC1492" s="19"/>
      <c r="CD1492" s="19"/>
      <c r="CE1492" s="19"/>
      <c r="CF1492" s="19"/>
      <c r="CG1492" s="19"/>
      <c r="CH1492" s="19"/>
    </row>
    <row r="1493" spans="1:86" s="21" customFormat="1" ht="25.15" customHeight="1" x14ac:dyDescent="0.2">
      <c r="A1493" s="61"/>
      <c r="B1493" s="981"/>
      <c r="C1493" s="186" t="s">
        <v>80</v>
      </c>
      <c r="D1493" s="178"/>
      <c r="E1493" s="177"/>
      <c r="F1493" s="981">
        <v>37.171999999999997</v>
      </c>
      <c r="G1493" s="179"/>
      <c r="H1493" s="878" t="s">
        <v>46</v>
      </c>
      <c r="I1493" s="878" t="s">
        <v>47</v>
      </c>
      <c r="J1493" s="878" t="s">
        <v>32</v>
      </c>
      <c r="K1493" s="906">
        <v>10.029999999999999</v>
      </c>
      <c r="L1493" s="878" t="s">
        <v>2</v>
      </c>
      <c r="M1493" s="1374">
        <f>634252.111-72454.796+149222.067</f>
        <v>711019.3820000001</v>
      </c>
      <c r="N1493" s="104"/>
      <c r="O1493" s="104"/>
      <c r="P1493" s="104"/>
      <c r="Q1493" s="104"/>
      <c r="R1493" s="104"/>
      <c r="S1493" s="104"/>
      <c r="T1493" s="61"/>
      <c r="U1493" s="61"/>
      <c r="V1493" s="104"/>
      <c r="W1493" s="104"/>
      <c r="X1493" s="104"/>
      <c r="Y1493" s="104"/>
      <c r="Z1493" s="104"/>
      <c r="AA1493" s="104"/>
      <c r="AB1493" s="104"/>
      <c r="AC1493" s="104"/>
      <c r="AD1493" s="104"/>
      <c r="AE1493" s="104"/>
      <c r="AF1493" s="104"/>
      <c r="AG1493" s="104"/>
      <c r="AH1493" s="104"/>
      <c r="AI1493" s="104"/>
      <c r="AJ1493" s="104"/>
      <c r="AK1493" s="104"/>
      <c r="AL1493" s="104"/>
      <c r="AM1493" s="104"/>
      <c r="AN1493" s="104"/>
      <c r="AO1493" s="104"/>
      <c r="AP1493" s="104"/>
      <c r="AQ1493" s="104"/>
      <c r="AR1493" s="104"/>
      <c r="AS1493" s="19"/>
      <c r="AT1493" s="19"/>
      <c r="AU1493" s="19"/>
      <c r="AV1493" s="19"/>
      <c r="AW1493" s="19"/>
      <c r="AX1493" s="19"/>
      <c r="AY1493" s="19"/>
      <c r="AZ1493" s="19"/>
      <c r="BA1493" s="19"/>
      <c r="BB1493" s="19"/>
      <c r="BC1493" s="19"/>
      <c r="BD1493" s="19"/>
      <c r="BE1493" s="19"/>
      <c r="BF1493" s="19"/>
      <c r="BG1493" s="19"/>
      <c r="BH1493" s="19"/>
      <c r="BI1493" s="19"/>
      <c r="BJ1493" s="19"/>
      <c r="BK1493" s="19"/>
      <c r="BL1493" s="19"/>
      <c r="BM1493" s="19"/>
      <c r="BN1493" s="19"/>
      <c r="BO1493" s="19"/>
      <c r="BP1493" s="19"/>
      <c r="BQ1493" s="19"/>
      <c r="BR1493" s="19"/>
      <c r="BS1493" s="19"/>
      <c r="BT1493" s="19"/>
      <c r="BU1493" s="19"/>
      <c r="BV1493" s="19"/>
      <c r="BW1493" s="19"/>
      <c r="BX1493" s="19"/>
      <c r="BY1493" s="19"/>
      <c r="BZ1493" s="19"/>
      <c r="CA1493" s="19"/>
      <c r="CB1493" s="19"/>
      <c r="CC1493" s="19"/>
      <c r="CD1493" s="19"/>
      <c r="CE1493" s="19"/>
      <c r="CF1493" s="19"/>
      <c r="CG1493" s="19"/>
      <c r="CH1493" s="19"/>
    </row>
    <row r="1494" spans="1:86" s="21" customFormat="1" ht="25.15" customHeight="1" x14ac:dyDescent="0.2">
      <c r="A1494" s="61"/>
      <c r="B1494" s="981"/>
      <c r="C1494" s="186"/>
      <c r="D1494" s="178"/>
      <c r="E1494" s="177"/>
      <c r="F1494" s="981"/>
      <c r="G1494" s="179"/>
      <c r="H1494" s="981"/>
      <c r="I1494" s="981"/>
      <c r="J1494" s="878"/>
      <c r="K1494" s="897">
        <v>124042.7</v>
      </c>
      <c r="L1494" s="911" t="s">
        <v>3</v>
      </c>
      <c r="M1494" s="1375"/>
      <c r="N1494" s="104"/>
      <c r="O1494" s="104"/>
      <c r="P1494" s="104"/>
      <c r="Q1494" s="104"/>
      <c r="R1494" s="104"/>
      <c r="S1494" s="104"/>
      <c r="T1494" s="61"/>
      <c r="U1494" s="61"/>
      <c r="V1494" s="104"/>
      <c r="W1494" s="104"/>
      <c r="X1494" s="104"/>
      <c r="Y1494" s="104"/>
      <c r="Z1494" s="104"/>
      <c r="AA1494" s="104"/>
      <c r="AB1494" s="104"/>
      <c r="AC1494" s="104"/>
      <c r="AD1494" s="104"/>
      <c r="AE1494" s="104"/>
      <c r="AF1494" s="104"/>
      <c r="AG1494" s="104"/>
      <c r="AH1494" s="104"/>
      <c r="AI1494" s="104"/>
      <c r="AJ1494" s="104"/>
      <c r="AK1494" s="104"/>
      <c r="AL1494" s="104"/>
      <c r="AM1494" s="104"/>
      <c r="AN1494" s="104"/>
      <c r="AO1494" s="104"/>
      <c r="AP1494" s="104"/>
      <c r="AQ1494" s="104"/>
      <c r="AR1494" s="104"/>
      <c r="AS1494" s="19"/>
      <c r="AT1494" s="19"/>
      <c r="AU1494" s="19"/>
      <c r="AV1494" s="19"/>
      <c r="AW1494" s="19"/>
      <c r="AX1494" s="19"/>
      <c r="AY1494" s="19"/>
      <c r="AZ1494" s="19"/>
      <c r="BA1494" s="19"/>
      <c r="BB1494" s="19"/>
      <c r="BC1494" s="19"/>
      <c r="BD1494" s="19"/>
      <c r="BE1494" s="19"/>
      <c r="BF1494" s="19"/>
      <c r="BG1494" s="19"/>
      <c r="BH1494" s="19"/>
      <c r="BI1494" s="19"/>
      <c r="BJ1494" s="19"/>
      <c r="BK1494" s="19"/>
      <c r="BL1494" s="19"/>
      <c r="BM1494" s="19"/>
      <c r="BN1494" s="19"/>
      <c r="BO1494" s="19"/>
      <c r="BP1494" s="19"/>
      <c r="BQ1494" s="19"/>
      <c r="BR1494" s="19"/>
      <c r="BS1494" s="19"/>
      <c r="BT1494" s="19"/>
      <c r="BU1494" s="19"/>
      <c r="BV1494" s="19"/>
      <c r="BW1494" s="19"/>
      <c r="BX1494" s="19"/>
      <c r="BY1494" s="19"/>
      <c r="BZ1494" s="19"/>
      <c r="CA1494" s="19"/>
      <c r="CB1494" s="19"/>
      <c r="CC1494" s="19"/>
      <c r="CD1494" s="19"/>
      <c r="CE1494" s="19"/>
      <c r="CF1494" s="19"/>
      <c r="CG1494" s="19"/>
      <c r="CH1494" s="19"/>
    </row>
    <row r="1495" spans="1:86" s="21" customFormat="1" ht="47.65" customHeight="1" x14ac:dyDescent="0.2">
      <c r="A1495" s="61">
        <v>4</v>
      </c>
      <c r="B1495" s="981">
        <v>89874</v>
      </c>
      <c r="C1495" s="187" t="s">
        <v>48</v>
      </c>
      <c r="D1495" s="178">
        <v>47.746000000000002</v>
      </c>
      <c r="E1495" s="177">
        <f>65.535*1000*7</f>
        <v>458745</v>
      </c>
      <c r="F1495" s="178">
        <v>47.746000000000002</v>
      </c>
      <c r="G1495" s="177">
        <f>65.535*1000*7</f>
        <v>458745</v>
      </c>
      <c r="H1495" s="104"/>
      <c r="I1495" s="104"/>
      <c r="J1495" s="104"/>
      <c r="K1495" s="104"/>
      <c r="L1495" s="104"/>
      <c r="M1495" s="104"/>
      <c r="N1495" s="104"/>
      <c r="O1495" s="104"/>
      <c r="P1495" s="104"/>
      <c r="Q1495" s="104"/>
      <c r="R1495" s="104"/>
      <c r="S1495" s="104"/>
      <c r="T1495" s="61"/>
      <c r="U1495" s="61"/>
      <c r="V1495" s="104"/>
      <c r="W1495" s="104"/>
      <c r="X1495" s="104"/>
      <c r="Y1495" s="104"/>
      <c r="Z1495" s="104"/>
      <c r="AA1495" s="104"/>
      <c r="AB1495" s="104"/>
      <c r="AC1495" s="104"/>
      <c r="AD1495" s="104"/>
      <c r="AE1495" s="104"/>
      <c r="AF1495" s="104"/>
      <c r="AG1495" s="104"/>
      <c r="AH1495" s="104"/>
      <c r="AI1495" s="104"/>
      <c r="AJ1495" s="104"/>
      <c r="AK1495" s="104"/>
      <c r="AL1495" s="104"/>
      <c r="AM1495" s="104"/>
      <c r="AN1495" s="104"/>
      <c r="AO1495" s="104"/>
      <c r="AP1495" s="104"/>
      <c r="AQ1495" s="104"/>
      <c r="AR1495" s="104"/>
      <c r="AS1495" s="19"/>
      <c r="AT1495" s="19"/>
      <c r="AU1495" s="19"/>
      <c r="AV1495" s="19"/>
      <c r="AW1495" s="19"/>
      <c r="AX1495" s="19"/>
      <c r="AY1495" s="19"/>
      <c r="AZ1495" s="19"/>
      <c r="BA1495" s="19"/>
      <c r="BB1495" s="19"/>
      <c r="BC1495" s="19"/>
      <c r="BD1495" s="19"/>
      <c r="BE1495" s="19"/>
      <c r="BF1495" s="19"/>
      <c r="BG1495" s="19"/>
      <c r="BH1495" s="19"/>
      <c r="BI1495" s="19"/>
      <c r="BJ1495" s="19"/>
      <c r="BK1495" s="19"/>
      <c r="BL1495" s="19"/>
      <c r="BM1495" s="19"/>
      <c r="BN1495" s="19"/>
      <c r="BO1495" s="19"/>
      <c r="BP1495" s="19"/>
      <c r="BQ1495" s="19"/>
      <c r="BR1495" s="19"/>
      <c r="BS1495" s="19"/>
      <c r="BT1495" s="19"/>
      <c r="BU1495" s="19"/>
      <c r="BV1495" s="19"/>
      <c r="BW1495" s="19"/>
      <c r="BX1495" s="19"/>
      <c r="BY1495" s="19"/>
      <c r="BZ1495" s="19"/>
      <c r="CA1495" s="19"/>
      <c r="CB1495" s="19"/>
      <c r="CC1495" s="19"/>
      <c r="CD1495" s="19"/>
      <c r="CE1495" s="19"/>
      <c r="CF1495" s="19"/>
      <c r="CG1495" s="19"/>
      <c r="CH1495" s="19"/>
    </row>
    <row r="1496" spans="1:86" s="21" customFormat="1" ht="46.35" customHeight="1" x14ac:dyDescent="0.2">
      <c r="A1496" s="61">
        <v>5</v>
      </c>
      <c r="B1496" s="981">
        <v>89874</v>
      </c>
      <c r="C1496" s="188" t="s">
        <v>49</v>
      </c>
      <c r="D1496" s="180">
        <v>40.807000000000002</v>
      </c>
      <c r="E1496" s="177">
        <f>112.098*1000*7</f>
        <v>784686</v>
      </c>
      <c r="F1496" s="180">
        <v>40.807000000000002</v>
      </c>
      <c r="G1496" s="177">
        <f>112.098*1000*7</f>
        <v>784686</v>
      </c>
      <c r="H1496" s="104"/>
      <c r="I1496" s="104"/>
      <c r="J1496" s="104"/>
      <c r="K1496" s="104"/>
      <c r="L1496" s="104"/>
      <c r="M1496" s="104"/>
      <c r="N1496" s="104"/>
      <c r="O1496" s="104"/>
      <c r="P1496" s="104"/>
      <c r="Q1496" s="104"/>
      <c r="R1496" s="104"/>
      <c r="S1496" s="104"/>
      <c r="T1496" s="61"/>
      <c r="U1496" s="61"/>
      <c r="V1496" s="104"/>
      <c r="W1496" s="104"/>
      <c r="X1496" s="104"/>
      <c r="Y1496" s="104"/>
      <c r="Z1496" s="104"/>
      <c r="AA1496" s="104"/>
      <c r="AB1496" s="104"/>
      <c r="AC1496" s="104"/>
      <c r="AD1496" s="104"/>
      <c r="AE1496" s="104"/>
      <c r="AF1496" s="104"/>
      <c r="AG1496" s="104"/>
      <c r="AH1496" s="104"/>
      <c r="AI1496" s="104"/>
      <c r="AJ1496" s="104"/>
      <c r="AK1496" s="104"/>
      <c r="AL1496" s="104"/>
      <c r="AM1496" s="104"/>
      <c r="AN1496" s="104"/>
      <c r="AO1496" s="104"/>
      <c r="AP1496" s="104"/>
      <c r="AQ1496" s="104"/>
      <c r="AR1496" s="104"/>
      <c r="AS1496" s="19"/>
      <c r="AT1496" s="19"/>
      <c r="AU1496" s="19"/>
      <c r="AV1496" s="19"/>
      <c r="AW1496" s="19"/>
      <c r="AX1496" s="19"/>
      <c r="AY1496" s="19"/>
      <c r="AZ1496" s="19"/>
      <c r="BA1496" s="19"/>
      <c r="BB1496" s="19"/>
      <c r="BC1496" s="19"/>
      <c r="BD1496" s="19"/>
      <c r="BE1496" s="19"/>
      <c r="BF1496" s="19"/>
      <c r="BG1496" s="19"/>
      <c r="BH1496" s="19"/>
      <c r="BI1496" s="19"/>
      <c r="BJ1496" s="19"/>
      <c r="BK1496" s="19"/>
      <c r="BL1496" s="19"/>
      <c r="BM1496" s="19"/>
      <c r="BN1496" s="19"/>
      <c r="BO1496" s="19"/>
      <c r="BP1496" s="19"/>
      <c r="BQ1496" s="19"/>
      <c r="BR1496" s="19"/>
      <c r="BS1496" s="19"/>
      <c r="BT1496" s="19"/>
      <c r="BU1496" s="19"/>
      <c r="BV1496" s="19"/>
      <c r="BW1496" s="19"/>
      <c r="BX1496" s="19"/>
      <c r="BY1496" s="19"/>
      <c r="BZ1496" s="19"/>
      <c r="CA1496" s="19"/>
      <c r="CB1496" s="19"/>
      <c r="CC1496" s="19"/>
      <c r="CD1496" s="19"/>
      <c r="CE1496" s="19"/>
      <c r="CF1496" s="19"/>
      <c r="CG1496" s="19"/>
      <c r="CH1496" s="19"/>
    </row>
    <row r="1497" spans="1:86" s="21" customFormat="1" ht="41.85" customHeight="1" x14ac:dyDescent="0.2">
      <c r="A1497" s="61">
        <v>6</v>
      </c>
      <c r="B1497" s="981">
        <v>89838</v>
      </c>
      <c r="C1497" s="189" t="s">
        <v>50</v>
      </c>
      <c r="D1497" s="181">
        <v>31.271000000000001</v>
      </c>
      <c r="E1497" s="177">
        <f>49.831*1000*7</f>
        <v>348817</v>
      </c>
      <c r="F1497" s="181">
        <v>31.271000000000001</v>
      </c>
      <c r="G1497" s="177">
        <f>49.831*1000*7</f>
        <v>348817</v>
      </c>
      <c r="H1497" s="104"/>
      <c r="I1497" s="104"/>
      <c r="J1497" s="104"/>
      <c r="K1497" s="104"/>
      <c r="L1497" s="104"/>
      <c r="M1497" s="104"/>
      <c r="N1497" s="104"/>
      <c r="O1497" s="104"/>
      <c r="P1497" s="104"/>
      <c r="Q1497" s="104"/>
      <c r="R1497" s="104"/>
      <c r="S1497" s="104"/>
      <c r="T1497" s="61"/>
      <c r="U1497" s="61"/>
      <c r="V1497" s="104"/>
      <c r="W1497" s="104"/>
      <c r="X1497" s="104"/>
      <c r="Y1497" s="104"/>
      <c r="Z1497" s="104"/>
      <c r="AA1497" s="104"/>
      <c r="AB1497" s="104"/>
      <c r="AC1497" s="104"/>
      <c r="AD1497" s="104"/>
      <c r="AE1497" s="104"/>
      <c r="AF1497" s="104"/>
      <c r="AG1497" s="104"/>
      <c r="AH1497" s="104"/>
      <c r="AI1497" s="104"/>
      <c r="AJ1497" s="104"/>
      <c r="AK1497" s="104"/>
      <c r="AL1497" s="104"/>
      <c r="AM1497" s="104"/>
      <c r="AN1497" s="104"/>
      <c r="AO1497" s="104"/>
      <c r="AP1497" s="104"/>
      <c r="AQ1497" s="104"/>
      <c r="AR1497" s="104"/>
      <c r="AS1497" s="19"/>
      <c r="AT1497" s="19"/>
      <c r="AU1497" s="19"/>
      <c r="AV1497" s="19"/>
      <c r="AW1497" s="19"/>
      <c r="AX1497" s="19"/>
      <c r="AY1497" s="19"/>
      <c r="AZ1497" s="19"/>
      <c r="BA1497" s="19"/>
      <c r="BB1497" s="19"/>
      <c r="BC1497" s="19"/>
      <c r="BD1497" s="19"/>
      <c r="BE1497" s="19"/>
      <c r="BF1497" s="19"/>
      <c r="BG1497" s="19"/>
      <c r="BH1497" s="19"/>
      <c r="BI1497" s="19"/>
      <c r="BJ1497" s="19"/>
      <c r="BK1497" s="19"/>
      <c r="BL1497" s="19"/>
      <c r="BM1497" s="19"/>
      <c r="BN1497" s="19"/>
      <c r="BO1497" s="19"/>
      <c r="BP1497" s="19"/>
      <c r="BQ1497" s="19"/>
      <c r="BR1497" s="19"/>
      <c r="BS1497" s="19"/>
      <c r="BT1497" s="19"/>
      <c r="BU1497" s="19"/>
      <c r="BV1497" s="19"/>
      <c r="BW1497" s="19"/>
      <c r="BX1497" s="19"/>
      <c r="BY1497" s="19"/>
      <c r="BZ1497" s="19"/>
      <c r="CA1497" s="19"/>
      <c r="CB1497" s="19"/>
      <c r="CC1497" s="19"/>
      <c r="CD1497" s="19"/>
      <c r="CE1497" s="19"/>
      <c r="CF1497" s="19"/>
      <c r="CG1497" s="19"/>
      <c r="CH1497" s="19"/>
    </row>
    <row r="1498" spans="1:86" s="21" customFormat="1" ht="74.650000000000006" customHeight="1" x14ac:dyDescent="0.2">
      <c r="A1498" s="61">
        <v>7</v>
      </c>
      <c r="B1498" s="981">
        <v>89847</v>
      </c>
      <c r="C1498" s="190" t="s">
        <v>1036</v>
      </c>
      <c r="D1498" s="182">
        <v>7.55</v>
      </c>
      <c r="E1498" s="183">
        <f>13.45*1000*7</f>
        <v>94150</v>
      </c>
      <c r="F1498" s="182">
        <v>7.55</v>
      </c>
      <c r="G1498" s="183">
        <f>13.45*1000*7</f>
        <v>94150</v>
      </c>
      <c r="H1498" s="104"/>
      <c r="I1498" s="104"/>
      <c r="J1498" s="104"/>
      <c r="K1498" s="104"/>
      <c r="L1498" s="104"/>
      <c r="M1498" s="104"/>
      <c r="N1498" s="104"/>
      <c r="O1498" s="104"/>
      <c r="P1498" s="104"/>
      <c r="Q1498" s="104"/>
      <c r="R1498" s="104"/>
      <c r="S1498" s="104"/>
      <c r="T1498" s="61"/>
      <c r="U1498" s="61"/>
      <c r="V1498" s="104"/>
      <c r="W1498" s="104"/>
      <c r="X1498" s="104"/>
      <c r="Y1498" s="104"/>
      <c r="Z1498" s="104"/>
      <c r="AA1498" s="104"/>
      <c r="AB1498" s="104"/>
      <c r="AC1498" s="104"/>
      <c r="AD1498" s="104"/>
      <c r="AE1498" s="104"/>
      <c r="AF1498" s="104"/>
      <c r="AG1498" s="104"/>
      <c r="AH1498" s="104"/>
      <c r="AI1498" s="104"/>
      <c r="AJ1498" s="104"/>
      <c r="AK1498" s="104"/>
      <c r="AL1498" s="104"/>
      <c r="AM1498" s="104"/>
      <c r="AN1498" s="104"/>
      <c r="AO1498" s="104"/>
      <c r="AP1498" s="104"/>
      <c r="AQ1498" s="104"/>
      <c r="AR1498" s="104"/>
      <c r="AS1498" s="19"/>
      <c r="AT1498" s="19"/>
      <c r="AU1498" s="19"/>
      <c r="AV1498" s="19"/>
      <c r="AW1498" s="19"/>
      <c r="AX1498" s="19"/>
      <c r="AY1498" s="19"/>
      <c r="AZ1498" s="19"/>
      <c r="BA1498" s="19"/>
      <c r="BB1498" s="19"/>
      <c r="BC1498" s="19"/>
      <c r="BD1498" s="19"/>
      <c r="BE1498" s="19"/>
      <c r="BF1498" s="19"/>
      <c r="BG1498" s="19"/>
      <c r="BH1498" s="19"/>
      <c r="BI1498" s="19"/>
      <c r="BJ1498" s="19"/>
      <c r="BK1498" s="19"/>
      <c r="BL1498" s="19"/>
      <c r="BM1498" s="19"/>
      <c r="BN1498" s="19"/>
      <c r="BO1498" s="19"/>
      <c r="BP1498" s="19"/>
      <c r="BQ1498" s="19"/>
      <c r="BR1498" s="19"/>
      <c r="BS1498" s="19"/>
      <c r="BT1498" s="19"/>
      <c r="BU1498" s="19"/>
      <c r="BV1498" s="19"/>
      <c r="BW1498" s="19"/>
      <c r="BX1498" s="19"/>
      <c r="BY1498" s="19"/>
      <c r="BZ1498" s="19"/>
      <c r="CA1498" s="19"/>
      <c r="CB1498" s="19"/>
      <c r="CC1498" s="19"/>
      <c r="CD1498" s="19"/>
      <c r="CE1498" s="19"/>
      <c r="CF1498" s="19"/>
      <c r="CG1498" s="19"/>
      <c r="CH1498" s="19"/>
    </row>
    <row r="1499" spans="1:86" s="12" customFormat="1" ht="29.65" customHeight="1" x14ac:dyDescent="0.25">
      <c r="A1499" s="1304" t="s">
        <v>13</v>
      </c>
      <c r="B1499" s="1305"/>
      <c r="C1499" s="1798"/>
      <c r="D1499" s="124">
        <f>D1490+D1491+D1492+D1495+D1496+D1497+D1498</f>
        <v>643.13799999999992</v>
      </c>
      <c r="E1499" s="105"/>
      <c r="F1499" s="124">
        <v>277</v>
      </c>
      <c r="G1499" s="105"/>
      <c r="H1499" s="105"/>
      <c r="I1499" s="105"/>
      <c r="J1499" s="105"/>
      <c r="K1499" s="113">
        <f>K1493</f>
        <v>10.029999999999999</v>
      </c>
      <c r="L1499" s="105"/>
      <c r="M1499" s="200">
        <f>SUM(M1490:M1498)</f>
        <v>711019.3820000001</v>
      </c>
      <c r="N1499" s="105"/>
      <c r="O1499" s="105"/>
      <c r="P1499" s="105"/>
      <c r="Q1499" s="106">
        <f>SUM(Q1491:Q1498)</f>
        <v>0</v>
      </c>
      <c r="R1499" s="105"/>
      <c r="S1499" s="200">
        <f>SUM(S1490:S1498)</f>
        <v>0</v>
      </c>
      <c r="T1499" s="108"/>
      <c r="U1499" s="108"/>
      <c r="V1499" s="105"/>
      <c r="W1499" s="106">
        <f>SUM(W1491:W1498)</f>
        <v>0</v>
      </c>
      <c r="X1499" s="105"/>
      <c r="Y1499" s="107">
        <f>SUM(Y1490:Y1498)</f>
        <v>0</v>
      </c>
      <c r="Z1499" s="105"/>
      <c r="AA1499" s="105"/>
      <c r="AB1499" s="105"/>
      <c r="AC1499" s="106">
        <f>SUM(AC1491:AC1498)</f>
        <v>0</v>
      </c>
      <c r="AD1499" s="105"/>
      <c r="AE1499" s="107">
        <f>SUM(AE1490:AE1498)</f>
        <v>0</v>
      </c>
      <c r="AF1499" s="105"/>
      <c r="AG1499" s="105"/>
      <c r="AH1499" s="105"/>
      <c r="AI1499" s="106">
        <f>SUM(AI1491:AI1498)</f>
        <v>0</v>
      </c>
      <c r="AJ1499" s="105"/>
      <c r="AK1499" s="107">
        <f>SUM(AK1490:AK1498)</f>
        <v>0</v>
      </c>
      <c r="AL1499" s="105"/>
      <c r="AM1499" s="105"/>
      <c r="AN1499" s="105"/>
      <c r="AO1499" s="106">
        <f>SUM(AO1491:AO1498)</f>
        <v>0</v>
      </c>
      <c r="AP1499" s="105"/>
      <c r="AQ1499" s="107">
        <f>SUM(AQ1490:AQ1498)</f>
        <v>0</v>
      </c>
      <c r="AR1499" s="105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1"/>
      <c r="BH1499" s="11"/>
      <c r="BI1499" s="11"/>
      <c r="BJ1499" s="11"/>
      <c r="BK1499" s="11"/>
      <c r="BL1499" s="11"/>
      <c r="BM1499" s="11"/>
      <c r="BN1499" s="11"/>
      <c r="BO1499" s="11"/>
      <c r="BP1499" s="11"/>
      <c r="BQ1499" s="11"/>
      <c r="BR1499" s="11"/>
      <c r="BS1499" s="11"/>
      <c r="BT1499" s="11"/>
      <c r="BU1499" s="11"/>
      <c r="BV1499" s="11"/>
      <c r="BW1499" s="11"/>
      <c r="BX1499" s="11"/>
      <c r="BY1499" s="11"/>
      <c r="BZ1499" s="11"/>
      <c r="CA1499" s="11"/>
      <c r="CB1499" s="11"/>
      <c r="CC1499" s="11"/>
      <c r="CD1499" s="11"/>
      <c r="CE1499" s="11"/>
      <c r="CF1499" s="11"/>
      <c r="CG1499" s="11"/>
      <c r="CH1499" s="11"/>
    </row>
    <row r="1500" spans="1:86" s="10" customFormat="1" ht="19.350000000000001" customHeight="1" x14ac:dyDescent="0.25">
      <c r="A1500" s="2352" t="s">
        <v>13</v>
      </c>
      <c r="B1500" s="2352"/>
      <c r="C1500" s="2352"/>
      <c r="D1500" s="2352"/>
      <c r="E1500" s="2352"/>
      <c r="F1500" s="2352"/>
      <c r="G1500" s="2352"/>
      <c r="H1500" s="2352"/>
      <c r="I1500" s="2352"/>
      <c r="J1500" s="1306" t="s">
        <v>5</v>
      </c>
      <c r="K1500" s="199"/>
      <c r="L1500" s="272" t="s">
        <v>2</v>
      </c>
      <c r="M1500" s="1313"/>
      <c r="N1500" s="198"/>
      <c r="O1500" s="272"/>
      <c r="P1500" s="1306" t="s">
        <v>5</v>
      </c>
      <c r="Q1500" s="199"/>
      <c r="R1500" s="272" t="s">
        <v>2</v>
      </c>
      <c r="S1500" s="1313"/>
      <c r="T1500" s="198"/>
      <c r="U1500" s="272"/>
      <c r="V1500" s="1306" t="s">
        <v>5</v>
      </c>
      <c r="W1500" s="199"/>
      <c r="X1500" s="272" t="s">
        <v>2</v>
      </c>
      <c r="Y1500" s="1313"/>
      <c r="Z1500" s="198"/>
      <c r="AA1500" s="272"/>
      <c r="AB1500" s="1306" t="s">
        <v>5</v>
      </c>
      <c r="AC1500" s="199"/>
      <c r="AD1500" s="272" t="s">
        <v>2</v>
      </c>
      <c r="AE1500" s="1313"/>
      <c r="AF1500" s="198"/>
      <c r="AG1500" s="272"/>
      <c r="AH1500" s="1306" t="s">
        <v>5</v>
      </c>
      <c r="AI1500" s="199"/>
      <c r="AJ1500" s="272" t="s">
        <v>2</v>
      </c>
      <c r="AK1500" s="1313"/>
      <c r="AL1500" s="198"/>
      <c r="AM1500" s="272"/>
      <c r="AN1500" s="1306" t="s">
        <v>5</v>
      </c>
      <c r="AO1500" s="199"/>
      <c r="AP1500" s="272" t="s">
        <v>2</v>
      </c>
      <c r="AQ1500" s="1313"/>
      <c r="AR1500" s="198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</row>
    <row r="1501" spans="1:86" s="10" customFormat="1" ht="19.350000000000001" customHeight="1" x14ac:dyDescent="0.25">
      <c r="A1501" s="2352"/>
      <c r="B1501" s="2352"/>
      <c r="C1501" s="2352"/>
      <c r="D1501" s="2352"/>
      <c r="E1501" s="2352"/>
      <c r="F1501" s="2352"/>
      <c r="G1501" s="2352"/>
      <c r="H1501" s="2352"/>
      <c r="I1501" s="2352"/>
      <c r="J1501" s="1307"/>
      <c r="K1501" s="199"/>
      <c r="L1501" s="272" t="s">
        <v>4</v>
      </c>
      <c r="M1501" s="1314"/>
      <c r="N1501" s="198"/>
      <c r="O1501" s="272"/>
      <c r="P1501" s="1307"/>
      <c r="Q1501" s="199"/>
      <c r="R1501" s="272" t="s">
        <v>4</v>
      </c>
      <c r="S1501" s="1314"/>
      <c r="T1501" s="198"/>
      <c r="U1501" s="272"/>
      <c r="V1501" s="1307"/>
      <c r="W1501" s="199"/>
      <c r="X1501" s="272" t="s">
        <v>4</v>
      </c>
      <c r="Y1501" s="1314"/>
      <c r="Z1501" s="198"/>
      <c r="AA1501" s="272"/>
      <c r="AB1501" s="1307"/>
      <c r="AC1501" s="199"/>
      <c r="AD1501" s="272" t="s">
        <v>4</v>
      </c>
      <c r="AE1501" s="1314"/>
      <c r="AF1501" s="198"/>
      <c r="AG1501" s="272"/>
      <c r="AH1501" s="1307"/>
      <c r="AI1501" s="199"/>
      <c r="AJ1501" s="272" t="s">
        <v>4</v>
      </c>
      <c r="AK1501" s="1314"/>
      <c r="AL1501" s="198"/>
      <c r="AM1501" s="272"/>
      <c r="AN1501" s="1307"/>
      <c r="AO1501" s="199"/>
      <c r="AP1501" s="272" t="s">
        <v>4</v>
      </c>
      <c r="AQ1501" s="1314"/>
      <c r="AR1501" s="198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</row>
    <row r="1502" spans="1:86" s="10" customFormat="1" ht="14.1" customHeight="1" x14ac:dyDescent="0.25">
      <c r="A1502" s="2352"/>
      <c r="B1502" s="2352"/>
      <c r="C1502" s="2352"/>
      <c r="D1502" s="2352"/>
      <c r="E1502" s="2352"/>
      <c r="F1502" s="2352"/>
      <c r="G1502" s="2352"/>
      <c r="H1502" s="2352"/>
      <c r="I1502" s="2352"/>
      <c r="J1502" s="1306" t="s">
        <v>32</v>
      </c>
      <c r="K1502" s="199">
        <f>K1493</f>
        <v>10.029999999999999</v>
      </c>
      <c r="L1502" s="272" t="s">
        <v>2</v>
      </c>
      <c r="M1502" s="1313">
        <f>M1499</f>
        <v>711019.3820000001</v>
      </c>
      <c r="N1502" s="198"/>
      <c r="O1502" s="272"/>
      <c r="P1502" s="1306" t="s">
        <v>32</v>
      </c>
      <c r="Q1502" s="199"/>
      <c r="R1502" s="272" t="s">
        <v>2</v>
      </c>
      <c r="S1502" s="1313"/>
      <c r="T1502" s="198"/>
      <c r="U1502" s="272"/>
      <c r="V1502" s="1306" t="s">
        <v>32</v>
      </c>
      <c r="W1502" s="199"/>
      <c r="X1502" s="272" t="s">
        <v>2</v>
      </c>
      <c r="Y1502" s="1313"/>
      <c r="Z1502" s="198"/>
      <c r="AA1502" s="272"/>
      <c r="AB1502" s="1306" t="s">
        <v>32</v>
      </c>
      <c r="AC1502" s="199"/>
      <c r="AD1502" s="272" t="s">
        <v>2</v>
      </c>
      <c r="AE1502" s="1313"/>
      <c r="AF1502" s="198"/>
      <c r="AG1502" s="272"/>
      <c r="AH1502" s="1306" t="s">
        <v>32</v>
      </c>
      <c r="AI1502" s="199"/>
      <c r="AJ1502" s="272" t="s">
        <v>2</v>
      </c>
      <c r="AK1502" s="1313"/>
      <c r="AL1502" s="198"/>
      <c r="AM1502" s="272"/>
      <c r="AN1502" s="1306" t="s">
        <v>32</v>
      </c>
      <c r="AO1502" s="199"/>
      <c r="AP1502" s="272" t="s">
        <v>2</v>
      </c>
      <c r="AQ1502" s="1313"/>
      <c r="AR1502" s="198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</row>
    <row r="1503" spans="1:86" s="10" customFormat="1" ht="14.1" customHeight="1" x14ac:dyDescent="0.25">
      <c r="A1503" s="2352"/>
      <c r="B1503" s="2352"/>
      <c r="C1503" s="2352"/>
      <c r="D1503" s="2352"/>
      <c r="E1503" s="2352"/>
      <c r="F1503" s="2352"/>
      <c r="G1503" s="2352"/>
      <c r="H1503" s="2352"/>
      <c r="I1503" s="2352"/>
      <c r="J1503" s="1307"/>
      <c r="K1503" s="199">
        <f>K1494</f>
        <v>124042.7</v>
      </c>
      <c r="L1503" s="272" t="s">
        <v>4</v>
      </c>
      <c r="M1503" s="1314"/>
      <c r="N1503" s="198"/>
      <c r="O1503" s="272"/>
      <c r="P1503" s="1307"/>
      <c r="Q1503" s="199"/>
      <c r="R1503" s="272" t="s">
        <v>4</v>
      </c>
      <c r="S1503" s="1314"/>
      <c r="T1503" s="198"/>
      <c r="U1503" s="272"/>
      <c r="V1503" s="1307"/>
      <c r="W1503" s="199"/>
      <c r="X1503" s="272" t="s">
        <v>4</v>
      </c>
      <c r="Y1503" s="1314"/>
      <c r="Z1503" s="198"/>
      <c r="AA1503" s="272"/>
      <c r="AB1503" s="1307"/>
      <c r="AC1503" s="199"/>
      <c r="AD1503" s="272" t="s">
        <v>4</v>
      </c>
      <c r="AE1503" s="1314"/>
      <c r="AF1503" s="198"/>
      <c r="AG1503" s="272"/>
      <c r="AH1503" s="1307"/>
      <c r="AI1503" s="199"/>
      <c r="AJ1503" s="272" t="s">
        <v>4</v>
      </c>
      <c r="AK1503" s="1314"/>
      <c r="AL1503" s="198"/>
      <c r="AM1503" s="272"/>
      <c r="AN1503" s="1307"/>
      <c r="AO1503" s="199"/>
      <c r="AP1503" s="272" t="s">
        <v>4</v>
      </c>
      <c r="AQ1503" s="1314"/>
      <c r="AR1503" s="198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</row>
    <row r="1504" spans="1:86" s="10" customFormat="1" ht="14.1" customHeight="1" x14ac:dyDescent="0.25">
      <c r="A1504" s="2352"/>
      <c r="B1504" s="2352"/>
      <c r="C1504" s="2352"/>
      <c r="D1504" s="2352"/>
      <c r="E1504" s="2352"/>
      <c r="F1504" s="2352"/>
      <c r="G1504" s="2352"/>
      <c r="H1504" s="2352"/>
      <c r="I1504" s="2352"/>
      <c r="J1504" s="1306" t="s">
        <v>33</v>
      </c>
      <c r="K1504" s="199"/>
      <c r="L1504" s="272" t="s">
        <v>2</v>
      </c>
      <c r="M1504" s="1313"/>
      <c r="N1504" s="198"/>
      <c r="O1504" s="272"/>
      <c r="P1504" s="1306" t="s">
        <v>33</v>
      </c>
      <c r="Q1504" s="199"/>
      <c r="R1504" s="272" t="s">
        <v>2</v>
      </c>
      <c r="S1504" s="1313">
        <f>S1499</f>
        <v>0</v>
      </c>
      <c r="T1504" s="198"/>
      <c r="U1504" s="272"/>
      <c r="V1504" s="1306" t="s">
        <v>33</v>
      </c>
      <c r="W1504" s="199"/>
      <c r="X1504" s="272" t="s">
        <v>2</v>
      </c>
      <c r="Y1504" s="1313">
        <f>Y1499</f>
        <v>0</v>
      </c>
      <c r="Z1504" s="198"/>
      <c r="AA1504" s="272"/>
      <c r="AB1504" s="1306" t="s">
        <v>33</v>
      </c>
      <c r="AC1504" s="199">
        <f>AC1490</f>
        <v>0</v>
      </c>
      <c r="AD1504" s="272" t="s">
        <v>2</v>
      </c>
      <c r="AE1504" s="1313">
        <f>AE1499</f>
        <v>0</v>
      </c>
      <c r="AF1504" s="198"/>
      <c r="AG1504" s="272"/>
      <c r="AH1504" s="1306" t="s">
        <v>33</v>
      </c>
      <c r="AI1504" s="199"/>
      <c r="AJ1504" s="272" t="s">
        <v>2</v>
      </c>
      <c r="AK1504" s="1313">
        <f>AK1499</f>
        <v>0</v>
      </c>
      <c r="AL1504" s="198"/>
      <c r="AM1504" s="272"/>
      <c r="AN1504" s="1306" t="s">
        <v>33</v>
      </c>
      <c r="AO1504" s="199">
        <f>AO1490</f>
        <v>0</v>
      </c>
      <c r="AP1504" s="272" t="s">
        <v>2</v>
      </c>
      <c r="AQ1504" s="1313">
        <f>AQ1499</f>
        <v>0</v>
      </c>
      <c r="AR1504" s="198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</row>
    <row r="1505" spans="1:86" s="10" customFormat="1" ht="14.1" customHeight="1" x14ac:dyDescent="0.25">
      <c r="A1505" s="2352"/>
      <c r="B1505" s="2352"/>
      <c r="C1505" s="2352"/>
      <c r="D1505" s="2352"/>
      <c r="E1505" s="2352"/>
      <c r="F1505" s="2352"/>
      <c r="G1505" s="2352"/>
      <c r="H1505" s="2352"/>
      <c r="I1505" s="2352"/>
      <c r="J1505" s="1307"/>
      <c r="K1505" s="199"/>
      <c r="L1505" s="272" t="s">
        <v>4</v>
      </c>
      <c r="M1505" s="1315"/>
      <c r="N1505" s="198"/>
      <c r="O1505" s="272"/>
      <c r="P1505" s="1307"/>
      <c r="Q1505" s="199"/>
      <c r="R1505" s="272" t="s">
        <v>4</v>
      </c>
      <c r="S1505" s="1315"/>
      <c r="T1505" s="198"/>
      <c r="U1505" s="272"/>
      <c r="V1505" s="1307"/>
      <c r="W1505" s="199"/>
      <c r="X1505" s="272" t="s">
        <v>4</v>
      </c>
      <c r="Y1505" s="1315"/>
      <c r="Z1505" s="198"/>
      <c r="AA1505" s="272"/>
      <c r="AB1505" s="1307"/>
      <c r="AC1505" s="199"/>
      <c r="AD1505" s="272" t="s">
        <v>4</v>
      </c>
      <c r="AE1505" s="1315"/>
      <c r="AF1505" s="198"/>
      <c r="AG1505" s="272"/>
      <c r="AH1505" s="1307"/>
      <c r="AI1505" s="199"/>
      <c r="AJ1505" s="272" t="s">
        <v>4</v>
      </c>
      <c r="AK1505" s="1315"/>
      <c r="AL1505" s="198"/>
      <c r="AM1505" s="272"/>
      <c r="AN1505" s="1307"/>
      <c r="AO1505" s="199"/>
      <c r="AP1505" s="272" t="s">
        <v>4</v>
      </c>
      <c r="AQ1505" s="1315"/>
      <c r="AR1505" s="198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</row>
    <row r="1506" spans="1:86" s="10" customFormat="1" ht="14.1" customHeight="1" x14ac:dyDescent="0.25">
      <c r="A1506" s="2352"/>
      <c r="B1506" s="2352"/>
      <c r="C1506" s="2352"/>
      <c r="D1506" s="2352"/>
      <c r="E1506" s="2352"/>
      <c r="F1506" s="2352"/>
      <c r="G1506" s="2352"/>
      <c r="H1506" s="2352"/>
      <c r="I1506" s="2352"/>
      <c r="J1506" s="1306" t="s">
        <v>34</v>
      </c>
      <c r="K1506" s="199"/>
      <c r="L1506" s="272" t="s">
        <v>2</v>
      </c>
      <c r="M1506" s="1313"/>
      <c r="N1506" s="198"/>
      <c r="O1506" s="272"/>
      <c r="P1506" s="1306" t="s">
        <v>34</v>
      </c>
      <c r="Q1506" s="199"/>
      <c r="R1506" s="272" t="s">
        <v>2</v>
      </c>
      <c r="S1506" s="1313"/>
      <c r="T1506" s="198"/>
      <c r="U1506" s="272"/>
      <c r="V1506" s="1306" t="s">
        <v>34</v>
      </c>
      <c r="W1506" s="199"/>
      <c r="X1506" s="272" t="s">
        <v>2</v>
      </c>
      <c r="Y1506" s="1313"/>
      <c r="Z1506" s="198"/>
      <c r="AA1506" s="272"/>
      <c r="AB1506" s="1306" t="s">
        <v>34</v>
      </c>
      <c r="AC1506" s="199"/>
      <c r="AD1506" s="272" t="s">
        <v>2</v>
      </c>
      <c r="AE1506" s="1313"/>
      <c r="AF1506" s="198"/>
      <c r="AG1506" s="272"/>
      <c r="AH1506" s="1306" t="s">
        <v>34</v>
      </c>
      <c r="AI1506" s="199"/>
      <c r="AJ1506" s="272" t="s">
        <v>2</v>
      </c>
      <c r="AK1506" s="1313"/>
      <c r="AL1506" s="198"/>
      <c r="AM1506" s="272"/>
      <c r="AN1506" s="1306" t="s">
        <v>34</v>
      </c>
      <c r="AO1506" s="199"/>
      <c r="AP1506" s="272" t="s">
        <v>2</v>
      </c>
      <c r="AQ1506" s="1313"/>
      <c r="AR1506" s="198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</row>
    <row r="1507" spans="1:86" s="10" customFormat="1" ht="14.1" customHeight="1" x14ac:dyDescent="0.25">
      <c r="A1507" s="2352"/>
      <c r="B1507" s="2352"/>
      <c r="C1507" s="2352"/>
      <c r="D1507" s="2352"/>
      <c r="E1507" s="2352"/>
      <c r="F1507" s="2352"/>
      <c r="G1507" s="2352"/>
      <c r="H1507" s="2352"/>
      <c r="I1507" s="2352"/>
      <c r="J1507" s="1307"/>
      <c r="K1507" s="199"/>
      <c r="L1507" s="272" t="s">
        <v>4</v>
      </c>
      <c r="M1507" s="1314"/>
      <c r="N1507" s="198"/>
      <c r="O1507" s="272"/>
      <c r="P1507" s="1307"/>
      <c r="Q1507" s="199"/>
      <c r="R1507" s="272" t="s">
        <v>4</v>
      </c>
      <c r="S1507" s="1314"/>
      <c r="T1507" s="198"/>
      <c r="U1507" s="272"/>
      <c r="V1507" s="1307"/>
      <c r="W1507" s="199"/>
      <c r="X1507" s="272" t="s">
        <v>4</v>
      </c>
      <c r="Y1507" s="1314"/>
      <c r="Z1507" s="198"/>
      <c r="AA1507" s="272"/>
      <c r="AB1507" s="1307"/>
      <c r="AC1507" s="199"/>
      <c r="AD1507" s="272" t="s">
        <v>4</v>
      </c>
      <c r="AE1507" s="1314"/>
      <c r="AF1507" s="198"/>
      <c r="AG1507" s="272"/>
      <c r="AH1507" s="1307"/>
      <c r="AI1507" s="199"/>
      <c r="AJ1507" s="272" t="s">
        <v>4</v>
      </c>
      <c r="AK1507" s="1314"/>
      <c r="AL1507" s="198"/>
      <c r="AM1507" s="272"/>
      <c r="AN1507" s="1307"/>
      <c r="AO1507" s="199"/>
      <c r="AP1507" s="272" t="s">
        <v>4</v>
      </c>
      <c r="AQ1507" s="1314"/>
      <c r="AR1507" s="198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</row>
    <row r="1508" spans="1:86" s="10" customFormat="1" ht="14.1" customHeight="1" x14ac:dyDescent="0.25">
      <c r="A1508" s="2352"/>
      <c r="B1508" s="2352"/>
      <c r="C1508" s="2352"/>
      <c r="D1508" s="2352"/>
      <c r="E1508" s="2352"/>
      <c r="F1508" s="2352"/>
      <c r="G1508" s="2352"/>
      <c r="H1508" s="2352"/>
      <c r="I1508" s="2352"/>
      <c r="J1508" s="1306" t="s">
        <v>1038</v>
      </c>
      <c r="K1508" s="199"/>
      <c r="L1508" s="272" t="s">
        <v>1044</v>
      </c>
      <c r="M1508" s="1313"/>
      <c r="N1508" s="198"/>
      <c r="O1508" s="272"/>
      <c r="P1508" s="1306" t="s">
        <v>1038</v>
      </c>
      <c r="Q1508" s="199"/>
      <c r="R1508" s="272" t="s">
        <v>1044</v>
      </c>
      <c r="S1508" s="1313"/>
      <c r="T1508" s="198"/>
      <c r="U1508" s="272"/>
      <c r="V1508" s="1306" t="s">
        <v>1038</v>
      </c>
      <c r="W1508" s="199"/>
      <c r="X1508" s="272" t="s">
        <v>1044</v>
      </c>
      <c r="Y1508" s="1313"/>
      <c r="Z1508" s="198"/>
      <c r="AA1508" s="272"/>
      <c r="AB1508" s="1306" t="s">
        <v>1038</v>
      </c>
      <c r="AC1508" s="199"/>
      <c r="AD1508" s="272" t="s">
        <v>1044</v>
      </c>
      <c r="AE1508" s="1313"/>
      <c r="AF1508" s="198"/>
      <c r="AG1508" s="272"/>
      <c r="AH1508" s="1306" t="s">
        <v>1038</v>
      </c>
      <c r="AI1508" s="199"/>
      <c r="AJ1508" s="272" t="s">
        <v>1044</v>
      </c>
      <c r="AK1508" s="1313"/>
      <c r="AL1508" s="198"/>
      <c r="AM1508" s="272"/>
      <c r="AN1508" s="1306" t="s">
        <v>1038</v>
      </c>
      <c r="AO1508" s="199"/>
      <c r="AP1508" s="272" t="s">
        <v>1044</v>
      </c>
      <c r="AQ1508" s="1313"/>
      <c r="AR1508" s="198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</row>
    <row r="1509" spans="1:86" s="10" customFormat="1" ht="14.1" customHeight="1" x14ac:dyDescent="0.25">
      <c r="A1509" s="2352"/>
      <c r="B1509" s="2352"/>
      <c r="C1509" s="2352"/>
      <c r="D1509" s="2352"/>
      <c r="E1509" s="2352"/>
      <c r="F1509" s="2352"/>
      <c r="G1509" s="2352"/>
      <c r="H1509" s="2352"/>
      <c r="I1509" s="2352"/>
      <c r="J1509" s="1309"/>
      <c r="K1509" s="199"/>
      <c r="L1509" s="272" t="s">
        <v>2</v>
      </c>
      <c r="M1509" s="1314"/>
      <c r="N1509" s="198"/>
      <c r="O1509" s="272"/>
      <c r="P1509" s="1309"/>
      <c r="Q1509" s="199"/>
      <c r="R1509" s="272" t="s">
        <v>2</v>
      </c>
      <c r="S1509" s="1314"/>
      <c r="T1509" s="198"/>
      <c r="U1509" s="272"/>
      <c r="V1509" s="1309"/>
      <c r="W1509" s="199"/>
      <c r="X1509" s="272" t="s">
        <v>2</v>
      </c>
      <c r="Y1509" s="1314"/>
      <c r="Z1509" s="198"/>
      <c r="AA1509" s="272"/>
      <c r="AB1509" s="1309"/>
      <c r="AC1509" s="199"/>
      <c r="AD1509" s="272" t="s">
        <v>2</v>
      </c>
      <c r="AE1509" s="1314"/>
      <c r="AF1509" s="198"/>
      <c r="AG1509" s="272"/>
      <c r="AH1509" s="1309"/>
      <c r="AI1509" s="199"/>
      <c r="AJ1509" s="272" t="s">
        <v>2</v>
      </c>
      <c r="AK1509" s="1314"/>
      <c r="AL1509" s="198"/>
      <c r="AM1509" s="272"/>
      <c r="AN1509" s="1309"/>
      <c r="AO1509" s="199"/>
      <c r="AP1509" s="272" t="s">
        <v>2</v>
      </c>
      <c r="AQ1509" s="1314"/>
      <c r="AR1509" s="198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</row>
    <row r="1510" spans="1:86" s="10" customFormat="1" ht="14.1" customHeight="1" x14ac:dyDescent="0.25">
      <c r="A1510" s="2352"/>
      <c r="B1510" s="2352"/>
      <c r="C1510" s="2352"/>
      <c r="D1510" s="2352"/>
      <c r="E1510" s="2352"/>
      <c r="F1510" s="2352"/>
      <c r="G1510" s="2352"/>
      <c r="H1510" s="2352"/>
      <c r="I1510" s="2352"/>
      <c r="J1510" s="1307"/>
      <c r="K1510" s="199"/>
      <c r="L1510" s="272" t="s">
        <v>4</v>
      </c>
      <c r="M1510" s="1315"/>
      <c r="N1510" s="198"/>
      <c r="O1510" s="272"/>
      <c r="P1510" s="1307"/>
      <c r="Q1510" s="199"/>
      <c r="R1510" s="272" t="s">
        <v>4</v>
      </c>
      <c r="S1510" s="1315"/>
      <c r="T1510" s="198"/>
      <c r="U1510" s="272"/>
      <c r="V1510" s="1307"/>
      <c r="W1510" s="199"/>
      <c r="X1510" s="272" t="s">
        <v>4</v>
      </c>
      <c r="Y1510" s="1315"/>
      <c r="Z1510" s="198"/>
      <c r="AA1510" s="272"/>
      <c r="AB1510" s="1307"/>
      <c r="AC1510" s="199"/>
      <c r="AD1510" s="272" t="s">
        <v>4</v>
      </c>
      <c r="AE1510" s="1315"/>
      <c r="AF1510" s="198"/>
      <c r="AG1510" s="272"/>
      <c r="AH1510" s="1307"/>
      <c r="AI1510" s="199"/>
      <c r="AJ1510" s="272" t="s">
        <v>4</v>
      </c>
      <c r="AK1510" s="1315"/>
      <c r="AL1510" s="198"/>
      <c r="AM1510" s="272"/>
      <c r="AN1510" s="1307"/>
      <c r="AO1510" s="199"/>
      <c r="AP1510" s="272" t="s">
        <v>4</v>
      </c>
      <c r="AQ1510" s="1315"/>
      <c r="AR1510" s="198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</row>
    <row r="1511" spans="1:86" s="10" customFormat="1" ht="14.1" customHeight="1" x14ac:dyDescent="0.25">
      <c r="A1511" s="2352"/>
      <c r="B1511" s="2352"/>
      <c r="C1511" s="2352"/>
      <c r="D1511" s="2352"/>
      <c r="E1511" s="2352"/>
      <c r="F1511" s="2352"/>
      <c r="G1511" s="2352"/>
      <c r="H1511" s="2352"/>
      <c r="I1511" s="2352"/>
      <c r="J1511" s="1306" t="s">
        <v>1037</v>
      </c>
      <c r="K1511" s="199"/>
      <c r="L1511" s="272" t="s">
        <v>1044</v>
      </c>
      <c r="M1511" s="1313"/>
      <c r="N1511" s="198"/>
      <c r="O1511" s="272"/>
      <c r="P1511" s="1306" t="s">
        <v>1037</v>
      </c>
      <c r="Q1511" s="199"/>
      <c r="R1511" s="272" t="s">
        <v>1044</v>
      </c>
      <c r="S1511" s="1313"/>
      <c r="T1511" s="198"/>
      <c r="U1511" s="272"/>
      <c r="V1511" s="1306" t="s">
        <v>1037</v>
      </c>
      <c r="W1511" s="199"/>
      <c r="X1511" s="272" t="s">
        <v>1044</v>
      </c>
      <c r="Y1511" s="1313"/>
      <c r="Z1511" s="198"/>
      <c r="AA1511" s="272"/>
      <c r="AB1511" s="1306" t="s">
        <v>1037</v>
      </c>
      <c r="AC1511" s="199"/>
      <c r="AD1511" s="272" t="s">
        <v>1044</v>
      </c>
      <c r="AE1511" s="1313"/>
      <c r="AF1511" s="198"/>
      <c r="AG1511" s="272"/>
      <c r="AH1511" s="1306" t="s">
        <v>1037</v>
      </c>
      <c r="AI1511" s="199"/>
      <c r="AJ1511" s="272" t="s">
        <v>1044</v>
      </c>
      <c r="AK1511" s="1313"/>
      <c r="AL1511" s="198"/>
      <c r="AM1511" s="272"/>
      <c r="AN1511" s="1306" t="s">
        <v>1037</v>
      </c>
      <c r="AO1511" s="199"/>
      <c r="AP1511" s="272" t="s">
        <v>1044</v>
      </c>
      <c r="AQ1511" s="1313"/>
      <c r="AR1511" s="198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</row>
    <row r="1512" spans="1:86" s="10" customFormat="1" ht="14.1" customHeight="1" x14ac:dyDescent="0.25">
      <c r="A1512" s="2352"/>
      <c r="B1512" s="2352"/>
      <c r="C1512" s="2352"/>
      <c r="D1512" s="2352"/>
      <c r="E1512" s="2352"/>
      <c r="F1512" s="2352"/>
      <c r="G1512" s="2352"/>
      <c r="H1512" s="2352"/>
      <c r="I1512" s="2352"/>
      <c r="J1512" s="1309"/>
      <c r="K1512" s="199"/>
      <c r="L1512" s="272" t="s">
        <v>2</v>
      </c>
      <c r="M1512" s="1314"/>
      <c r="N1512" s="198"/>
      <c r="O1512" s="272"/>
      <c r="P1512" s="1309"/>
      <c r="Q1512" s="199"/>
      <c r="R1512" s="272" t="s">
        <v>2</v>
      </c>
      <c r="S1512" s="1314"/>
      <c r="T1512" s="198"/>
      <c r="U1512" s="272"/>
      <c r="V1512" s="1309"/>
      <c r="W1512" s="199"/>
      <c r="X1512" s="272" t="s">
        <v>2</v>
      </c>
      <c r="Y1512" s="1314"/>
      <c r="Z1512" s="198"/>
      <c r="AA1512" s="272"/>
      <c r="AB1512" s="1309"/>
      <c r="AC1512" s="199"/>
      <c r="AD1512" s="272" t="s">
        <v>2</v>
      </c>
      <c r="AE1512" s="1314"/>
      <c r="AF1512" s="198"/>
      <c r="AG1512" s="272"/>
      <c r="AH1512" s="1309"/>
      <c r="AI1512" s="199"/>
      <c r="AJ1512" s="272" t="s">
        <v>2</v>
      </c>
      <c r="AK1512" s="1314"/>
      <c r="AL1512" s="198"/>
      <c r="AM1512" s="272"/>
      <c r="AN1512" s="1309"/>
      <c r="AO1512" s="199"/>
      <c r="AP1512" s="272" t="s">
        <v>2</v>
      </c>
      <c r="AQ1512" s="1314"/>
      <c r="AR1512" s="198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</row>
    <row r="1513" spans="1:86" s="10" customFormat="1" ht="14.1" customHeight="1" x14ac:dyDescent="0.25">
      <c r="A1513" s="2352"/>
      <c r="B1513" s="2352"/>
      <c r="C1513" s="2352"/>
      <c r="D1513" s="2352"/>
      <c r="E1513" s="2352"/>
      <c r="F1513" s="2352"/>
      <c r="G1513" s="2352"/>
      <c r="H1513" s="2352"/>
      <c r="I1513" s="2352"/>
      <c r="J1513" s="1307"/>
      <c r="K1513" s="199"/>
      <c r="L1513" s="272" t="s">
        <v>4</v>
      </c>
      <c r="M1513" s="1315"/>
      <c r="N1513" s="198"/>
      <c r="O1513" s="272"/>
      <c r="P1513" s="1307"/>
      <c r="Q1513" s="199"/>
      <c r="R1513" s="272" t="s">
        <v>4</v>
      </c>
      <c r="S1513" s="1315"/>
      <c r="T1513" s="198"/>
      <c r="U1513" s="272"/>
      <c r="V1513" s="1307"/>
      <c r="W1513" s="199"/>
      <c r="X1513" s="272" t="s">
        <v>4</v>
      </c>
      <c r="Y1513" s="1315"/>
      <c r="Z1513" s="198"/>
      <c r="AA1513" s="272"/>
      <c r="AB1513" s="1307"/>
      <c r="AC1513" s="199"/>
      <c r="AD1513" s="272" t="s">
        <v>4</v>
      </c>
      <c r="AE1513" s="1315"/>
      <c r="AF1513" s="198"/>
      <c r="AG1513" s="272"/>
      <c r="AH1513" s="1307"/>
      <c r="AI1513" s="199"/>
      <c r="AJ1513" s="272" t="s">
        <v>4</v>
      </c>
      <c r="AK1513" s="1315"/>
      <c r="AL1513" s="198"/>
      <c r="AM1513" s="272"/>
      <c r="AN1513" s="1307"/>
      <c r="AO1513" s="199"/>
      <c r="AP1513" s="272" t="s">
        <v>4</v>
      </c>
      <c r="AQ1513" s="1315"/>
      <c r="AR1513" s="198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</row>
    <row r="1514" spans="1:86" s="10" customFormat="1" ht="14.1" customHeight="1" x14ac:dyDescent="0.25">
      <c r="A1514" s="2352"/>
      <c r="B1514" s="2352"/>
      <c r="C1514" s="2352"/>
      <c r="D1514" s="2352"/>
      <c r="E1514" s="2352"/>
      <c r="F1514" s="2352"/>
      <c r="G1514" s="2352"/>
      <c r="H1514" s="2352"/>
      <c r="I1514" s="2352"/>
      <c r="J1514" s="1306" t="s">
        <v>1039</v>
      </c>
      <c r="K1514" s="199"/>
      <c r="L1514" s="272" t="s">
        <v>1044</v>
      </c>
      <c r="M1514" s="1313"/>
      <c r="N1514" s="198"/>
      <c r="O1514" s="272"/>
      <c r="P1514" s="1306" t="s">
        <v>1039</v>
      </c>
      <c r="Q1514" s="199"/>
      <c r="R1514" s="272" t="s">
        <v>1044</v>
      </c>
      <c r="S1514" s="1313"/>
      <c r="T1514" s="198"/>
      <c r="U1514" s="272"/>
      <c r="V1514" s="1306" t="s">
        <v>1039</v>
      </c>
      <c r="W1514" s="199"/>
      <c r="X1514" s="272" t="s">
        <v>1044</v>
      </c>
      <c r="Y1514" s="1313"/>
      <c r="Z1514" s="198"/>
      <c r="AA1514" s="272"/>
      <c r="AB1514" s="1306" t="s">
        <v>1039</v>
      </c>
      <c r="AC1514" s="199"/>
      <c r="AD1514" s="272" t="s">
        <v>1044</v>
      </c>
      <c r="AE1514" s="1313"/>
      <c r="AF1514" s="198"/>
      <c r="AG1514" s="272"/>
      <c r="AH1514" s="1306" t="s">
        <v>1039</v>
      </c>
      <c r="AI1514" s="199"/>
      <c r="AJ1514" s="272" t="s">
        <v>1044</v>
      </c>
      <c r="AK1514" s="1313"/>
      <c r="AL1514" s="198"/>
      <c r="AM1514" s="272"/>
      <c r="AN1514" s="1306" t="s">
        <v>1039</v>
      </c>
      <c r="AO1514" s="199"/>
      <c r="AP1514" s="272" t="s">
        <v>1044</v>
      </c>
      <c r="AQ1514" s="1313"/>
      <c r="AR1514" s="198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</row>
    <row r="1515" spans="1:86" s="10" customFormat="1" ht="14.1" customHeight="1" x14ac:dyDescent="0.25">
      <c r="A1515" s="2352"/>
      <c r="B1515" s="2352"/>
      <c r="C1515" s="2352"/>
      <c r="D1515" s="2352"/>
      <c r="E1515" s="2352"/>
      <c r="F1515" s="2352"/>
      <c r="G1515" s="2352"/>
      <c r="H1515" s="2352"/>
      <c r="I1515" s="2352"/>
      <c r="J1515" s="1309"/>
      <c r="K1515" s="199"/>
      <c r="L1515" s="272" t="s">
        <v>2</v>
      </c>
      <c r="M1515" s="1314"/>
      <c r="N1515" s="198"/>
      <c r="O1515" s="272"/>
      <c r="P1515" s="1309"/>
      <c r="Q1515" s="199"/>
      <c r="R1515" s="272" t="s">
        <v>2</v>
      </c>
      <c r="S1515" s="1314"/>
      <c r="T1515" s="198"/>
      <c r="U1515" s="272"/>
      <c r="V1515" s="1309"/>
      <c r="W1515" s="199"/>
      <c r="X1515" s="272" t="s">
        <v>2</v>
      </c>
      <c r="Y1515" s="1314"/>
      <c r="Z1515" s="198"/>
      <c r="AA1515" s="272"/>
      <c r="AB1515" s="1309"/>
      <c r="AC1515" s="199"/>
      <c r="AD1515" s="272" t="s">
        <v>2</v>
      </c>
      <c r="AE1515" s="1314"/>
      <c r="AF1515" s="198"/>
      <c r="AG1515" s="272"/>
      <c r="AH1515" s="1309"/>
      <c r="AI1515" s="199"/>
      <c r="AJ1515" s="272" t="s">
        <v>2</v>
      </c>
      <c r="AK1515" s="1314"/>
      <c r="AL1515" s="198"/>
      <c r="AM1515" s="272"/>
      <c r="AN1515" s="1309"/>
      <c r="AO1515" s="199"/>
      <c r="AP1515" s="272" t="s">
        <v>2</v>
      </c>
      <c r="AQ1515" s="1314"/>
      <c r="AR1515" s="198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</row>
    <row r="1516" spans="1:86" s="10" customFormat="1" ht="14.1" customHeight="1" x14ac:dyDescent="0.25">
      <c r="A1516" s="2352"/>
      <c r="B1516" s="2352"/>
      <c r="C1516" s="2352"/>
      <c r="D1516" s="2352"/>
      <c r="E1516" s="2352"/>
      <c r="F1516" s="2352"/>
      <c r="G1516" s="2352"/>
      <c r="H1516" s="2352"/>
      <c r="I1516" s="2352"/>
      <c r="J1516" s="1307"/>
      <c r="K1516" s="199"/>
      <c r="L1516" s="272" t="s">
        <v>4</v>
      </c>
      <c r="M1516" s="1315"/>
      <c r="N1516" s="198"/>
      <c r="O1516" s="272"/>
      <c r="P1516" s="1307"/>
      <c r="Q1516" s="199"/>
      <c r="R1516" s="272" t="s">
        <v>4</v>
      </c>
      <c r="S1516" s="1315"/>
      <c r="T1516" s="198"/>
      <c r="U1516" s="272"/>
      <c r="V1516" s="1307"/>
      <c r="W1516" s="199"/>
      <c r="X1516" s="272" t="s">
        <v>4</v>
      </c>
      <c r="Y1516" s="1315"/>
      <c r="Z1516" s="198"/>
      <c r="AA1516" s="272"/>
      <c r="AB1516" s="1307"/>
      <c r="AC1516" s="199"/>
      <c r="AD1516" s="272" t="s">
        <v>4</v>
      </c>
      <c r="AE1516" s="1315"/>
      <c r="AF1516" s="198"/>
      <c r="AG1516" s="272"/>
      <c r="AH1516" s="1307"/>
      <c r="AI1516" s="199"/>
      <c r="AJ1516" s="272" t="s">
        <v>4</v>
      </c>
      <c r="AK1516" s="1315"/>
      <c r="AL1516" s="198"/>
      <c r="AM1516" s="272"/>
      <c r="AN1516" s="1307"/>
      <c r="AO1516" s="199"/>
      <c r="AP1516" s="272" t="s">
        <v>4</v>
      </c>
      <c r="AQ1516" s="1315"/>
      <c r="AR1516" s="198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</row>
    <row r="1517" spans="1:86" s="10" customFormat="1" ht="14.1" customHeight="1" x14ac:dyDescent="0.25">
      <c r="A1517" s="2352"/>
      <c r="B1517" s="2352"/>
      <c r="C1517" s="2352"/>
      <c r="D1517" s="2352"/>
      <c r="E1517" s="2352"/>
      <c r="F1517" s="2352"/>
      <c r="G1517" s="2352"/>
      <c r="H1517" s="2352"/>
      <c r="I1517" s="2352"/>
      <c r="J1517" s="1306" t="s">
        <v>1040</v>
      </c>
      <c r="K1517" s="199"/>
      <c r="L1517" s="272" t="s">
        <v>1044</v>
      </c>
      <c r="M1517" s="1313"/>
      <c r="N1517" s="198"/>
      <c r="O1517" s="272"/>
      <c r="P1517" s="1306" t="s">
        <v>1040</v>
      </c>
      <c r="Q1517" s="199"/>
      <c r="R1517" s="272" t="s">
        <v>1044</v>
      </c>
      <c r="S1517" s="1313"/>
      <c r="T1517" s="198"/>
      <c r="U1517" s="272"/>
      <c r="V1517" s="1306" t="s">
        <v>1040</v>
      </c>
      <c r="W1517" s="199"/>
      <c r="X1517" s="272" t="s">
        <v>1044</v>
      </c>
      <c r="Y1517" s="1313"/>
      <c r="Z1517" s="198"/>
      <c r="AA1517" s="272"/>
      <c r="AB1517" s="1306" t="s">
        <v>1040</v>
      </c>
      <c r="AC1517" s="199"/>
      <c r="AD1517" s="272" t="s">
        <v>1044</v>
      </c>
      <c r="AE1517" s="1313"/>
      <c r="AF1517" s="198"/>
      <c r="AG1517" s="272"/>
      <c r="AH1517" s="1306" t="s">
        <v>1040</v>
      </c>
      <c r="AI1517" s="199"/>
      <c r="AJ1517" s="272" t="s">
        <v>1044</v>
      </c>
      <c r="AK1517" s="1313"/>
      <c r="AL1517" s="198"/>
      <c r="AM1517" s="272"/>
      <c r="AN1517" s="1306" t="s">
        <v>1040</v>
      </c>
      <c r="AO1517" s="199"/>
      <c r="AP1517" s="272" t="s">
        <v>1044</v>
      </c>
      <c r="AQ1517" s="1313"/>
      <c r="AR1517" s="198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</row>
    <row r="1518" spans="1:86" s="10" customFormat="1" ht="14.1" customHeight="1" x14ac:dyDescent="0.25">
      <c r="A1518" s="2352"/>
      <c r="B1518" s="2352"/>
      <c r="C1518" s="2352"/>
      <c r="D1518" s="2352"/>
      <c r="E1518" s="2352"/>
      <c r="F1518" s="2352"/>
      <c r="G1518" s="2352"/>
      <c r="H1518" s="2352"/>
      <c r="I1518" s="2352"/>
      <c r="J1518" s="1309"/>
      <c r="K1518" s="199"/>
      <c r="L1518" s="272" t="s">
        <v>2</v>
      </c>
      <c r="M1518" s="1314"/>
      <c r="N1518" s="198"/>
      <c r="O1518" s="272"/>
      <c r="P1518" s="1309"/>
      <c r="Q1518" s="199"/>
      <c r="R1518" s="272" t="s">
        <v>2</v>
      </c>
      <c r="S1518" s="1314"/>
      <c r="T1518" s="198"/>
      <c r="U1518" s="272"/>
      <c r="V1518" s="1309"/>
      <c r="W1518" s="199"/>
      <c r="X1518" s="272" t="s">
        <v>2</v>
      </c>
      <c r="Y1518" s="1314"/>
      <c r="Z1518" s="198"/>
      <c r="AA1518" s="272"/>
      <c r="AB1518" s="1309"/>
      <c r="AC1518" s="199"/>
      <c r="AD1518" s="272" t="s">
        <v>2</v>
      </c>
      <c r="AE1518" s="1314"/>
      <c r="AF1518" s="198"/>
      <c r="AG1518" s="272"/>
      <c r="AH1518" s="1309"/>
      <c r="AI1518" s="199"/>
      <c r="AJ1518" s="272" t="s">
        <v>2</v>
      </c>
      <c r="AK1518" s="1314"/>
      <c r="AL1518" s="198"/>
      <c r="AM1518" s="272"/>
      <c r="AN1518" s="1309"/>
      <c r="AO1518" s="199"/>
      <c r="AP1518" s="272" t="s">
        <v>2</v>
      </c>
      <c r="AQ1518" s="1314"/>
      <c r="AR1518" s="198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</row>
    <row r="1519" spans="1:86" s="10" customFormat="1" ht="14.1" customHeight="1" x14ac:dyDescent="0.25">
      <c r="A1519" s="2352"/>
      <c r="B1519" s="2352"/>
      <c r="C1519" s="2352"/>
      <c r="D1519" s="2352"/>
      <c r="E1519" s="2352"/>
      <c r="F1519" s="2352"/>
      <c r="G1519" s="2352"/>
      <c r="H1519" s="2352"/>
      <c r="I1519" s="2352"/>
      <c r="J1519" s="1307"/>
      <c r="K1519" s="199"/>
      <c r="L1519" s="272" t="s">
        <v>4</v>
      </c>
      <c r="M1519" s="1315"/>
      <c r="N1519" s="198"/>
      <c r="O1519" s="272"/>
      <c r="P1519" s="1307"/>
      <c r="Q1519" s="199"/>
      <c r="R1519" s="272" t="s">
        <v>4</v>
      </c>
      <c r="S1519" s="1315"/>
      <c r="T1519" s="198"/>
      <c r="U1519" s="272"/>
      <c r="V1519" s="1307"/>
      <c r="W1519" s="199"/>
      <c r="X1519" s="272" t="s">
        <v>4</v>
      </c>
      <c r="Y1519" s="1315"/>
      <c r="Z1519" s="198"/>
      <c r="AA1519" s="272"/>
      <c r="AB1519" s="1307"/>
      <c r="AC1519" s="199"/>
      <c r="AD1519" s="272" t="s">
        <v>4</v>
      </c>
      <c r="AE1519" s="1315"/>
      <c r="AF1519" s="198"/>
      <c r="AG1519" s="272"/>
      <c r="AH1519" s="1307"/>
      <c r="AI1519" s="199"/>
      <c r="AJ1519" s="272" t="s">
        <v>4</v>
      </c>
      <c r="AK1519" s="1315"/>
      <c r="AL1519" s="198"/>
      <c r="AM1519" s="272"/>
      <c r="AN1519" s="1307"/>
      <c r="AO1519" s="199"/>
      <c r="AP1519" s="272" t="s">
        <v>4</v>
      </c>
      <c r="AQ1519" s="1315"/>
      <c r="AR1519" s="198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</row>
    <row r="1520" spans="1:86" s="10" customFormat="1" ht="23.85" customHeight="1" x14ac:dyDescent="0.25">
      <c r="A1520" s="2352"/>
      <c r="B1520" s="2352"/>
      <c r="C1520" s="2352"/>
      <c r="D1520" s="2352"/>
      <c r="E1520" s="2352"/>
      <c r="F1520" s="2352"/>
      <c r="G1520" s="2352"/>
      <c r="H1520" s="2352"/>
      <c r="I1520" s="2352"/>
      <c r="J1520" s="951" t="s">
        <v>6</v>
      </c>
      <c r="K1520" s="199"/>
      <c r="L1520" s="272" t="s">
        <v>2</v>
      </c>
      <c r="M1520" s="273"/>
      <c r="N1520" s="198"/>
      <c r="O1520" s="272"/>
      <c r="P1520" s="951" t="s">
        <v>6</v>
      </c>
      <c r="Q1520" s="199"/>
      <c r="R1520" s="272" t="s">
        <v>2</v>
      </c>
      <c r="S1520" s="273"/>
      <c r="T1520" s="198"/>
      <c r="U1520" s="272"/>
      <c r="V1520" s="951" t="s">
        <v>6</v>
      </c>
      <c r="W1520" s="199"/>
      <c r="X1520" s="272" t="s">
        <v>2</v>
      </c>
      <c r="Y1520" s="273"/>
      <c r="Z1520" s="198"/>
      <c r="AA1520" s="272"/>
      <c r="AB1520" s="951" t="s">
        <v>6</v>
      </c>
      <c r="AC1520" s="199"/>
      <c r="AD1520" s="272" t="s">
        <v>2</v>
      </c>
      <c r="AE1520" s="273"/>
      <c r="AF1520" s="198"/>
      <c r="AG1520" s="272"/>
      <c r="AH1520" s="951" t="s">
        <v>6</v>
      </c>
      <c r="AI1520" s="199"/>
      <c r="AJ1520" s="272" t="s">
        <v>2</v>
      </c>
      <c r="AK1520" s="273"/>
      <c r="AL1520" s="198"/>
      <c r="AM1520" s="272"/>
      <c r="AN1520" s="951" t="s">
        <v>6</v>
      </c>
      <c r="AO1520" s="199"/>
      <c r="AP1520" s="272" t="s">
        <v>2</v>
      </c>
      <c r="AQ1520" s="273"/>
      <c r="AR1520" s="198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</row>
    <row r="1521" spans="1:86 1025:1025" s="10" customFormat="1" ht="43.15" customHeight="1" x14ac:dyDescent="0.25">
      <c r="A1521" s="2352"/>
      <c r="B1521" s="2352"/>
      <c r="C1521" s="2352"/>
      <c r="D1521" s="2352"/>
      <c r="E1521" s="2352"/>
      <c r="F1521" s="2352"/>
      <c r="G1521" s="2352"/>
      <c r="H1521" s="2352"/>
      <c r="I1521" s="2352"/>
      <c r="J1521" s="274" t="s">
        <v>7</v>
      </c>
      <c r="K1521" s="199"/>
      <c r="L1521" s="272" t="s">
        <v>8</v>
      </c>
      <c r="M1521" s="199"/>
      <c r="N1521" s="198"/>
      <c r="O1521" s="272"/>
      <c r="P1521" s="274" t="s">
        <v>7</v>
      </c>
      <c r="Q1521" s="199"/>
      <c r="R1521" s="272" t="s">
        <v>8</v>
      </c>
      <c r="S1521" s="199"/>
      <c r="T1521" s="198"/>
      <c r="U1521" s="272"/>
      <c r="V1521" s="274" t="s">
        <v>7</v>
      </c>
      <c r="W1521" s="199"/>
      <c r="X1521" s="272" t="s">
        <v>8</v>
      </c>
      <c r="Y1521" s="199"/>
      <c r="Z1521" s="198"/>
      <c r="AA1521" s="272"/>
      <c r="AB1521" s="274" t="s">
        <v>7</v>
      </c>
      <c r="AC1521" s="199"/>
      <c r="AD1521" s="272" t="s">
        <v>8</v>
      </c>
      <c r="AE1521" s="199"/>
      <c r="AF1521" s="198"/>
      <c r="AG1521" s="272"/>
      <c r="AH1521" s="274" t="s">
        <v>7</v>
      </c>
      <c r="AI1521" s="199"/>
      <c r="AJ1521" s="272" t="s">
        <v>8</v>
      </c>
      <c r="AK1521" s="199"/>
      <c r="AL1521" s="198"/>
      <c r="AM1521" s="272"/>
      <c r="AN1521" s="274" t="s">
        <v>7</v>
      </c>
      <c r="AO1521" s="199"/>
      <c r="AP1521" s="272" t="s">
        <v>8</v>
      </c>
      <c r="AQ1521" s="199"/>
      <c r="AR1521" s="198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</row>
    <row r="1522" spans="1:86 1025:1025" s="10" customFormat="1" ht="43.15" customHeight="1" x14ac:dyDescent="0.25">
      <c r="A1522" s="2352"/>
      <c r="B1522" s="2352"/>
      <c r="C1522" s="2352"/>
      <c r="D1522" s="2352"/>
      <c r="E1522" s="2352"/>
      <c r="F1522" s="2352"/>
      <c r="G1522" s="2352"/>
      <c r="H1522" s="2352"/>
      <c r="I1522" s="2352"/>
      <c r="J1522" s="274" t="s">
        <v>35</v>
      </c>
      <c r="K1522" s="199"/>
      <c r="L1522" s="272" t="s">
        <v>8</v>
      </c>
      <c r="M1522" s="273"/>
      <c r="N1522" s="198"/>
      <c r="O1522" s="272"/>
      <c r="P1522" s="274" t="s">
        <v>35</v>
      </c>
      <c r="Q1522" s="199"/>
      <c r="R1522" s="272" t="s">
        <v>8</v>
      </c>
      <c r="S1522" s="273"/>
      <c r="T1522" s="198"/>
      <c r="U1522" s="272"/>
      <c r="V1522" s="274" t="s">
        <v>35</v>
      </c>
      <c r="W1522" s="199"/>
      <c r="X1522" s="272" t="s">
        <v>8</v>
      </c>
      <c r="Y1522" s="273"/>
      <c r="Z1522" s="198"/>
      <c r="AA1522" s="272"/>
      <c r="AB1522" s="274" t="s">
        <v>35</v>
      </c>
      <c r="AC1522" s="199"/>
      <c r="AD1522" s="272" t="s">
        <v>8</v>
      </c>
      <c r="AE1522" s="273"/>
      <c r="AF1522" s="198"/>
      <c r="AG1522" s="272"/>
      <c r="AH1522" s="274" t="s">
        <v>35</v>
      </c>
      <c r="AI1522" s="199"/>
      <c r="AJ1522" s="272" t="s">
        <v>8</v>
      </c>
      <c r="AK1522" s="273"/>
      <c r="AL1522" s="198"/>
      <c r="AM1522" s="272"/>
      <c r="AN1522" s="274" t="s">
        <v>35</v>
      </c>
      <c r="AO1522" s="199"/>
      <c r="AP1522" s="272" t="s">
        <v>8</v>
      </c>
      <c r="AQ1522" s="273"/>
      <c r="AR1522" s="198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</row>
    <row r="1523" spans="1:86 1025:1025" s="10" customFormat="1" ht="43.15" customHeight="1" x14ac:dyDescent="0.25">
      <c r="A1523" s="2352"/>
      <c r="B1523" s="2352"/>
      <c r="C1523" s="2352"/>
      <c r="D1523" s="2352"/>
      <c r="E1523" s="2352"/>
      <c r="F1523" s="2352"/>
      <c r="G1523" s="2352"/>
      <c r="H1523" s="2352"/>
      <c r="I1523" s="2352"/>
      <c r="J1523" s="274" t="s">
        <v>1041</v>
      </c>
      <c r="K1523" s="199"/>
      <c r="L1523" s="272" t="s">
        <v>1044</v>
      </c>
      <c r="M1523" s="273"/>
      <c r="N1523" s="198"/>
      <c r="O1523" s="272"/>
      <c r="P1523" s="274" t="s">
        <v>1041</v>
      </c>
      <c r="Q1523" s="199"/>
      <c r="R1523" s="272" t="s">
        <v>1044</v>
      </c>
      <c r="S1523" s="273"/>
      <c r="T1523" s="198"/>
      <c r="U1523" s="272"/>
      <c r="V1523" s="274" t="s">
        <v>1041</v>
      </c>
      <c r="W1523" s="199"/>
      <c r="X1523" s="272" t="s">
        <v>1044</v>
      </c>
      <c r="Y1523" s="273"/>
      <c r="Z1523" s="198"/>
      <c r="AA1523" s="272"/>
      <c r="AB1523" s="274" t="s">
        <v>1041</v>
      </c>
      <c r="AC1523" s="199"/>
      <c r="AD1523" s="272" t="s">
        <v>1044</v>
      </c>
      <c r="AE1523" s="273"/>
      <c r="AF1523" s="198"/>
      <c r="AG1523" s="272"/>
      <c r="AH1523" s="274" t="s">
        <v>1041</v>
      </c>
      <c r="AI1523" s="199"/>
      <c r="AJ1523" s="272" t="s">
        <v>1044</v>
      </c>
      <c r="AK1523" s="273"/>
      <c r="AL1523" s="198"/>
      <c r="AM1523" s="272"/>
      <c r="AN1523" s="274" t="s">
        <v>1041</v>
      </c>
      <c r="AO1523" s="199"/>
      <c r="AP1523" s="272" t="s">
        <v>1044</v>
      </c>
      <c r="AQ1523" s="273"/>
      <c r="AR1523" s="198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</row>
    <row r="1524" spans="1:86 1025:1025" s="10" customFormat="1" ht="43.15" customHeight="1" x14ac:dyDescent="0.25">
      <c r="A1524" s="2352"/>
      <c r="B1524" s="2352"/>
      <c r="C1524" s="2352"/>
      <c r="D1524" s="2352"/>
      <c r="E1524" s="2352"/>
      <c r="F1524" s="2352"/>
      <c r="G1524" s="2352"/>
      <c r="H1524" s="2352"/>
      <c r="I1524" s="2352"/>
      <c r="J1524" s="274" t="s">
        <v>11</v>
      </c>
      <c r="K1524" s="199"/>
      <c r="L1524" s="272" t="s">
        <v>4</v>
      </c>
      <c r="M1524" s="273"/>
      <c r="N1524" s="198"/>
      <c r="O1524" s="272"/>
      <c r="P1524" s="274" t="s">
        <v>11</v>
      </c>
      <c r="Q1524" s="199"/>
      <c r="R1524" s="272" t="s">
        <v>4</v>
      </c>
      <c r="S1524" s="273"/>
      <c r="T1524" s="198"/>
      <c r="U1524" s="272"/>
      <c r="V1524" s="274" t="s">
        <v>11</v>
      </c>
      <c r="W1524" s="199"/>
      <c r="X1524" s="272" t="s">
        <v>4</v>
      </c>
      <c r="Y1524" s="273"/>
      <c r="Z1524" s="198"/>
      <c r="AA1524" s="272"/>
      <c r="AB1524" s="274" t="s">
        <v>11</v>
      </c>
      <c r="AC1524" s="199"/>
      <c r="AD1524" s="272" t="s">
        <v>4</v>
      </c>
      <c r="AE1524" s="273"/>
      <c r="AF1524" s="198"/>
      <c r="AG1524" s="272"/>
      <c r="AH1524" s="274" t="s">
        <v>11</v>
      </c>
      <c r="AI1524" s="199"/>
      <c r="AJ1524" s="272" t="s">
        <v>4</v>
      </c>
      <c r="AK1524" s="273"/>
      <c r="AL1524" s="198"/>
      <c r="AM1524" s="272"/>
      <c r="AN1524" s="274" t="s">
        <v>11</v>
      </c>
      <c r="AO1524" s="199"/>
      <c r="AP1524" s="272" t="s">
        <v>4</v>
      </c>
      <c r="AQ1524" s="273"/>
      <c r="AR1524" s="198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</row>
    <row r="1525" spans="1:86 1025:1025" s="10" customFormat="1" ht="43.15" customHeight="1" x14ac:dyDescent="0.25">
      <c r="A1525" s="2352"/>
      <c r="B1525" s="2352"/>
      <c r="C1525" s="2352"/>
      <c r="D1525" s="2352"/>
      <c r="E1525" s="2352"/>
      <c r="F1525" s="2352"/>
      <c r="G1525" s="2352"/>
      <c r="H1525" s="2352"/>
      <c r="I1525" s="2352"/>
      <c r="J1525" s="274" t="s">
        <v>1042</v>
      </c>
      <c r="K1525" s="199"/>
      <c r="L1525" s="272" t="s">
        <v>1044</v>
      </c>
      <c r="M1525" s="273"/>
      <c r="N1525" s="198"/>
      <c r="O1525" s="272"/>
      <c r="P1525" s="274" t="s">
        <v>1042</v>
      </c>
      <c r="Q1525" s="199"/>
      <c r="R1525" s="272" t="s">
        <v>1044</v>
      </c>
      <c r="S1525" s="273"/>
      <c r="T1525" s="198"/>
      <c r="U1525" s="272"/>
      <c r="V1525" s="274" t="s">
        <v>1042</v>
      </c>
      <c r="W1525" s="199"/>
      <c r="X1525" s="272" t="s">
        <v>1044</v>
      </c>
      <c r="Y1525" s="273"/>
      <c r="Z1525" s="198"/>
      <c r="AA1525" s="272"/>
      <c r="AB1525" s="274" t="s">
        <v>1042</v>
      </c>
      <c r="AC1525" s="199"/>
      <c r="AD1525" s="272" t="s">
        <v>1044</v>
      </c>
      <c r="AE1525" s="273"/>
      <c r="AF1525" s="198"/>
      <c r="AG1525" s="272"/>
      <c r="AH1525" s="274" t="s">
        <v>1042</v>
      </c>
      <c r="AI1525" s="199"/>
      <c r="AJ1525" s="272" t="s">
        <v>1044</v>
      </c>
      <c r="AK1525" s="273"/>
      <c r="AL1525" s="198"/>
      <c r="AM1525" s="272"/>
      <c r="AN1525" s="274" t="s">
        <v>1042</v>
      </c>
      <c r="AO1525" s="199"/>
      <c r="AP1525" s="272" t="s">
        <v>1044</v>
      </c>
      <c r="AQ1525" s="273"/>
      <c r="AR1525" s="198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</row>
    <row r="1526" spans="1:86 1025:1025" s="10" customFormat="1" ht="43.15" customHeight="1" x14ac:dyDescent="0.25">
      <c r="A1526" s="2352"/>
      <c r="B1526" s="2352"/>
      <c r="C1526" s="2352"/>
      <c r="D1526" s="2352"/>
      <c r="E1526" s="2352"/>
      <c r="F1526" s="2352"/>
      <c r="G1526" s="2352"/>
      <c r="H1526" s="2352"/>
      <c r="I1526" s="2352"/>
      <c r="J1526" s="274" t="s">
        <v>37</v>
      </c>
      <c r="K1526" s="199"/>
      <c r="L1526" s="272" t="s">
        <v>1044</v>
      </c>
      <c r="M1526" s="273"/>
      <c r="N1526" s="198"/>
      <c r="O1526" s="272"/>
      <c r="P1526" s="274" t="s">
        <v>37</v>
      </c>
      <c r="Q1526" s="199"/>
      <c r="R1526" s="272" t="s">
        <v>1044</v>
      </c>
      <c r="S1526" s="273"/>
      <c r="T1526" s="198"/>
      <c r="U1526" s="272"/>
      <c r="V1526" s="274" t="s">
        <v>37</v>
      </c>
      <c r="W1526" s="199"/>
      <c r="X1526" s="272" t="s">
        <v>1044</v>
      </c>
      <c r="Y1526" s="273"/>
      <c r="Z1526" s="198"/>
      <c r="AA1526" s="272"/>
      <c r="AB1526" s="274" t="s">
        <v>37</v>
      </c>
      <c r="AC1526" s="199"/>
      <c r="AD1526" s="272" t="s">
        <v>1044</v>
      </c>
      <c r="AE1526" s="273"/>
      <c r="AF1526" s="198"/>
      <c r="AG1526" s="272"/>
      <c r="AH1526" s="274" t="s">
        <v>37</v>
      </c>
      <c r="AI1526" s="199"/>
      <c r="AJ1526" s="272" t="s">
        <v>1044</v>
      </c>
      <c r="AK1526" s="273"/>
      <c r="AL1526" s="198"/>
      <c r="AM1526" s="272"/>
      <c r="AN1526" s="274" t="s">
        <v>37</v>
      </c>
      <c r="AO1526" s="199"/>
      <c r="AP1526" s="272" t="s">
        <v>1044</v>
      </c>
      <c r="AQ1526" s="273"/>
      <c r="AR1526" s="198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</row>
    <row r="1527" spans="1:86 1025:1025" s="10" customFormat="1" ht="43.15" customHeight="1" x14ac:dyDescent="0.25">
      <c r="A1527" s="2352"/>
      <c r="B1527" s="2352"/>
      <c r="C1527" s="2352"/>
      <c r="D1527" s="2352"/>
      <c r="E1527" s="2352"/>
      <c r="F1527" s="2352"/>
      <c r="G1527" s="2352"/>
      <c r="H1527" s="2352"/>
      <c r="I1527" s="2352"/>
      <c r="J1527" s="274" t="s">
        <v>671</v>
      </c>
      <c r="K1527" s="199"/>
      <c r="L1527" s="272" t="s">
        <v>4</v>
      </c>
      <c r="M1527" s="273"/>
      <c r="N1527" s="198"/>
      <c r="O1527" s="272"/>
      <c r="P1527" s="274" t="s">
        <v>671</v>
      </c>
      <c r="Q1527" s="199"/>
      <c r="R1527" s="272" t="s">
        <v>4</v>
      </c>
      <c r="S1527" s="273"/>
      <c r="T1527" s="198"/>
      <c r="U1527" s="272"/>
      <c r="V1527" s="274" t="s">
        <v>671</v>
      </c>
      <c r="W1527" s="199"/>
      <c r="X1527" s="272" t="s">
        <v>4</v>
      </c>
      <c r="Y1527" s="273"/>
      <c r="Z1527" s="198"/>
      <c r="AA1527" s="272"/>
      <c r="AB1527" s="274" t="s">
        <v>671</v>
      </c>
      <c r="AC1527" s="199"/>
      <c r="AD1527" s="272" t="s">
        <v>4</v>
      </c>
      <c r="AE1527" s="273"/>
      <c r="AF1527" s="198"/>
      <c r="AG1527" s="272"/>
      <c r="AH1527" s="274" t="s">
        <v>671</v>
      </c>
      <c r="AI1527" s="199"/>
      <c r="AJ1527" s="272" t="s">
        <v>4</v>
      </c>
      <c r="AK1527" s="273"/>
      <c r="AL1527" s="198"/>
      <c r="AM1527" s="272"/>
      <c r="AN1527" s="274" t="s">
        <v>671</v>
      </c>
      <c r="AO1527" s="199"/>
      <c r="AP1527" s="272" t="s">
        <v>4</v>
      </c>
      <c r="AQ1527" s="273"/>
      <c r="AR1527" s="198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</row>
    <row r="1528" spans="1:86 1025:1025" s="10" customFormat="1" ht="43.15" customHeight="1" x14ac:dyDescent="0.25">
      <c r="A1528" s="2352"/>
      <c r="B1528" s="2352"/>
      <c r="C1528" s="2352"/>
      <c r="D1528" s="2352"/>
      <c r="E1528" s="2352"/>
      <c r="F1528" s="2352"/>
      <c r="G1528" s="2352"/>
      <c r="H1528" s="2352"/>
      <c r="I1528" s="2352"/>
      <c r="J1528" s="274" t="s">
        <v>672</v>
      </c>
      <c r="K1528" s="199"/>
      <c r="L1528" s="272" t="s">
        <v>4</v>
      </c>
      <c r="M1528" s="273"/>
      <c r="N1528" s="198"/>
      <c r="O1528" s="272"/>
      <c r="P1528" s="274" t="s">
        <v>672</v>
      </c>
      <c r="Q1528" s="199"/>
      <c r="R1528" s="272" t="s">
        <v>4</v>
      </c>
      <c r="S1528" s="273"/>
      <c r="T1528" s="198"/>
      <c r="U1528" s="272"/>
      <c r="V1528" s="274" t="s">
        <v>672</v>
      </c>
      <c r="W1528" s="199"/>
      <c r="X1528" s="272" t="s">
        <v>4</v>
      </c>
      <c r="Y1528" s="273"/>
      <c r="Z1528" s="198"/>
      <c r="AA1528" s="272"/>
      <c r="AB1528" s="274" t="s">
        <v>672</v>
      </c>
      <c r="AC1528" s="199"/>
      <c r="AD1528" s="272" t="s">
        <v>4</v>
      </c>
      <c r="AE1528" s="273"/>
      <c r="AF1528" s="198"/>
      <c r="AG1528" s="272"/>
      <c r="AH1528" s="274" t="s">
        <v>672</v>
      </c>
      <c r="AI1528" s="199"/>
      <c r="AJ1528" s="272" t="s">
        <v>4</v>
      </c>
      <c r="AK1528" s="273"/>
      <c r="AL1528" s="198"/>
      <c r="AM1528" s="272"/>
      <c r="AN1528" s="274" t="s">
        <v>672</v>
      </c>
      <c r="AO1528" s="199"/>
      <c r="AP1528" s="272" t="s">
        <v>4</v>
      </c>
      <c r="AQ1528" s="273"/>
      <c r="AR1528" s="198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</row>
    <row r="1529" spans="1:86 1025:1025" s="10" customFormat="1" ht="43.15" customHeight="1" x14ac:dyDescent="0.25">
      <c r="A1529" s="2352"/>
      <c r="B1529" s="2352"/>
      <c r="C1529" s="2352"/>
      <c r="D1529" s="2352"/>
      <c r="E1529" s="2352"/>
      <c r="F1529" s="2352"/>
      <c r="G1529" s="2352"/>
      <c r="H1529" s="2352"/>
      <c r="I1529" s="2352"/>
      <c r="J1529" s="274" t="s">
        <v>673</v>
      </c>
      <c r="K1529" s="199"/>
      <c r="L1529" s="272" t="s">
        <v>4</v>
      </c>
      <c r="M1529" s="273"/>
      <c r="N1529" s="198"/>
      <c r="O1529" s="272"/>
      <c r="P1529" s="274" t="s">
        <v>673</v>
      </c>
      <c r="Q1529" s="199"/>
      <c r="R1529" s="272" t="s">
        <v>4</v>
      </c>
      <c r="S1529" s="273"/>
      <c r="T1529" s="198"/>
      <c r="U1529" s="272"/>
      <c r="V1529" s="274" t="s">
        <v>673</v>
      </c>
      <c r="W1529" s="199"/>
      <c r="X1529" s="272" t="s">
        <v>4</v>
      </c>
      <c r="Y1529" s="273"/>
      <c r="Z1529" s="198"/>
      <c r="AA1529" s="272"/>
      <c r="AB1529" s="274" t="s">
        <v>673</v>
      </c>
      <c r="AC1529" s="199"/>
      <c r="AD1529" s="272" t="s">
        <v>4</v>
      </c>
      <c r="AE1529" s="273"/>
      <c r="AF1529" s="198"/>
      <c r="AG1529" s="272"/>
      <c r="AH1529" s="274" t="s">
        <v>673</v>
      </c>
      <c r="AI1529" s="199"/>
      <c r="AJ1529" s="272" t="s">
        <v>4</v>
      </c>
      <c r="AK1529" s="273"/>
      <c r="AL1529" s="198"/>
      <c r="AM1529" s="272"/>
      <c r="AN1529" s="274" t="s">
        <v>673</v>
      </c>
      <c r="AO1529" s="199"/>
      <c r="AP1529" s="272" t="s">
        <v>4</v>
      </c>
      <c r="AQ1529" s="273"/>
      <c r="AR1529" s="198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</row>
    <row r="1530" spans="1:86 1025:1025" s="10" customFormat="1" ht="43.15" customHeight="1" x14ac:dyDescent="0.25">
      <c r="A1530" s="2352"/>
      <c r="B1530" s="2352"/>
      <c r="C1530" s="2352"/>
      <c r="D1530" s="2352"/>
      <c r="E1530" s="2352"/>
      <c r="F1530" s="2352"/>
      <c r="G1530" s="2352"/>
      <c r="H1530" s="2352"/>
      <c r="I1530" s="2352"/>
      <c r="J1530" s="274" t="s">
        <v>674</v>
      </c>
      <c r="K1530" s="199"/>
      <c r="L1530" s="272" t="s">
        <v>8</v>
      </c>
      <c r="M1530" s="273"/>
      <c r="N1530" s="198"/>
      <c r="O1530" s="272"/>
      <c r="P1530" s="274" t="s">
        <v>674</v>
      </c>
      <c r="Q1530" s="199"/>
      <c r="R1530" s="272" t="s">
        <v>8</v>
      </c>
      <c r="S1530" s="273"/>
      <c r="T1530" s="198"/>
      <c r="U1530" s="272"/>
      <c r="V1530" s="274" t="s">
        <v>674</v>
      </c>
      <c r="W1530" s="199"/>
      <c r="X1530" s="272" t="s">
        <v>8</v>
      </c>
      <c r="Y1530" s="273"/>
      <c r="Z1530" s="198"/>
      <c r="AA1530" s="272"/>
      <c r="AB1530" s="274" t="s">
        <v>674</v>
      </c>
      <c r="AC1530" s="199"/>
      <c r="AD1530" s="272" t="s">
        <v>8</v>
      </c>
      <c r="AE1530" s="273"/>
      <c r="AF1530" s="198"/>
      <c r="AG1530" s="272"/>
      <c r="AH1530" s="274" t="s">
        <v>674</v>
      </c>
      <c r="AI1530" s="199"/>
      <c r="AJ1530" s="272" t="s">
        <v>8</v>
      </c>
      <c r="AK1530" s="273"/>
      <c r="AL1530" s="198"/>
      <c r="AM1530" s="272"/>
      <c r="AN1530" s="274" t="s">
        <v>674</v>
      </c>
      <c r="AO1530" s="199"/>
      <c r="AP1530" s="272" t="s">
        <v>8</v>
      </c>
      <c r="AQ1530" s="273"/>
      <c r="AR1530" s="198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</row>
    <row r="1531" spans="1:86 1025:1025" s="10" customFormat="1" ht="43.15" customHeight="1" x14ac:dyDescent="0.25">
      <c r="A1531" s="2352"/>
      <c r="B1531" s="2352"/>
      <c r="C1531" s="2352"/>
      <c r="D1531" s="2352"/>
      <c r="E1531" s="2352"/>
      <c r="F1531" s="2352"/>
      <c r="G1531" s="2352"/>
      <c r="H1531" s="2352"/>
      <c r="I1531" s="2352"/>
      <c r="J1531" s="274" t="s">
        <v>1043</v>
      </c>
      <c r="K1531" s="199"/>
      <c r="L1531" s="272" t="s">
        <v>1044</v>
      </c>
      <c r="M1531" s="273"/>
      <c r="N1531" s="198"/>
      <c r="O1531" s="272"/>
      <c r="P1531" s="274" t="s">
        <v>1043</v>
      </c>
      <c r="Q1531" s="199"/>
      <c r="R1531" s="272" t="s">
        <v>1044</v>
      </c>
      <c r="S1531" s="273"/>
      <c r="T1531" s="198"/>
      <c r="U1531" s="272"/>
      <c r="V1531" s="274" t="s">
        <v>1043</v>
      </c>
      <c r="W1531" s="199"/>
      <c r="X1531" s="272" t="s">
        <v>1044</v>
      </c>
      <c r="Y1531" s="273"/>
      <c r="Z1531" s="198"/>
      <c r="AA1531" s="272"/>
      <c r="AB1531" s="274" t="s">
        <v>1043</v>
      </c>
      <c r="AC1531" s="199"/>
      <c r="AD1531" s="272" t="s">
        <v>1044</v>
      </c>
      <c r="AE1531" s="273"/>
      <c r="AF1531" s="198"/>
      <c r="AG1531" s="272"/>
      <c r="AH1531" s="274" t="s">
        <v>1043</v>
      </c>
      <c r="AI1531" s="199"/>
      <c r="AJ1531" s="272" t="s">
        <v>1044</v>
      </c>
      <c r="AK1531" s="273"/>
      <c r="AL1531" s="198"/>
      <c r="AM1531" s="272"/>
      <c r="AN1531" s="274" t="s">
        <v>1043</v>
      </c>
      <c r="AO1531" s="199"/>
      <c r="AP1531" s="272" t="s">
        <v>1044</v>
      </c>
      <c r="AQ1531" s="273"/>
      <c r="AR1531" s="198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</row>
    <row r="1532" spans="1:86 1025:1025" s="10" customFormat="1" ht="92.65" customHeight="1" x14ac:dyDescent="0.25">
      <c r="A1532" s="2352"/>
      <c r="B1532" s="2352"/>
      <c r="C1532" s="2352"/>
      <c r="D1532" s="2352"/>
      <c r="E1532" s="2352"/>
      <c r="F1532" s="2352"/>
      <c r="G1532" s="2352"/>
      <c r="H1532" s="2352"/>
      <c r="I1532" s="2352"/>
      <c r="J1532" s="274" t="s">
        <v>1046</v>
      </c>
      <c r="K1532" s="199"/>
      <c r="L1532" s="272" t="s">
        <v>1045</v>
      </c>
      <c r="M1532" s="273"/>
      <c r="N1532" s="198"/>
      <c r="O1532" s="272"/>
      <c r="P1532" s="274" t="s">
        <v>1046</v>
      </c>
      <c r="Q1532" s="199"/>
      <c r="R1532" s="272" t="s">
        <v>1045</v>
      </c>
      <c r="S1532" s="273"/>
      <c r="T1532" s="198"/>
      <c r="U1532" s="272"/>
      <c r="V1532" s="274" t="s">
        <v>1046</v>
      </c>
      <c r="W1532" s="199"/>
      <c r="X1532" s="272" t="s">
        <v>1045</v>
      </c>
      <c r="Y1532" s="273"/>
      <c r="Z1532" s="198"/>
      <c r="AA1532" s="272"/>
      <c r="AB1532" s="274" t="s">
        <v>1046</v>
      </c>
      <c r="AC1532" s="199"/>
      <c r="AD1532" s="272" t="s">
        <v>1045</v>
      </c>
      <c r="AE1532" s="273"/>
      <c r="AF1532" s="198"/>
      <c r="AG1532" s="272"/>
      <c r="AH1532" s="274" t="s">
        <v>1046</v>
      </c>
      <c r="AI1532" s="199"/>
      <c r="AJ1532" s="272" t="s">
        <v>1045</v>
      </c>
      <c r="AK1532" s="273"/>
      <c r="AL1532" s="198"/>
      <c r="AM1532" s="272"/>
      <c r="AN1532" s="274" t="s">
        <v>1046</v>
      </c>
      <c r="AO1532" s="199"/>
      <c r="AP1532" s="272" t="s">
        <v>1045</v>
      </c>
      <c r="AQ1532" s="273"/>
      <c r="AR1532" s="198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</row>
    <row r="1533" spans="1:86 1025:1025" ht="21.75" customHeight="1" x14ac:dyDescent="0.25">
      <c r="A1533" s="95" t="s">
        <v>1049</v>
      </c>
      <c r="B1533" s="95"/>
      <c r="C1533" s="95"/>
      <c r="D1533" s="95"/>
      <c r="E1533" s="95"/>
      <c r="F1533" s="95"/>
      <c r="G1533" s="95"/>
      <c r="H1533" s="95"/>
      <c r="I1533" s="95"/>
      <c r="J1533" s="95"/>
      <c r="K1533" s="95"/>
      <c r="L1533" s="95"/>
      <c r="M1533" s="95"/>
      <c r="N1533" s="95"/>
      <c r="O1533" s="95"/>
      <c r="P1533" s="95"/>
      <c r="Q1533" s="95"/>
      <c r="R1533" s="95"/>
      <c r="S1533" s="95"/>
      <c r="T1533" s="96"/>
      <c r="U1533" s="96"/>
      <c r="V1533" s="95"/>
      <c r="W1533" s="95"/>
      <c r="X1533" s="95"/>
      <c r="Y1533" s="95"/>
      <c r="Z1533" s="95"/>
      <c r="AA1533" s="95"/>
      <c r="AB1533" s="95"/>
      <c r="AC1533" s="95"/>
      <c r="AD1533" s="95"/>
      <c r="AE1533" s="95"/>
      <c r="AF1533" s="95"/>
      <c r="AG1533" s="95"/>
      <c r="AH1533" s="95"/>
      <c r="AI1533" s="95"/>
      <c r="AJ1533" s="95"/>
      <c r="AK1533" s="95"/>
      <c r="AL1533" s="95"/>
      <c r="AM1533" s="95"/>
      <c r="AN1533" s="95"/>
      <c r="AO1533" s="95"/>
      <c r="AP1533" s="95"/>
      <c r="AQ1533" s="95"/>
      <c r="AR1533" s="95"/>
    </row>
    <row r="1534" spans="1:86 1025:1025" s="26" customFormat="1" ht="23.25" customHeight="1" x14ac:dyDescent="0.2">
      <c r="A1534" s="97">
        <v>1</v>
      </c>
      <c r="B1534" s="30"/>
      <c r="C1534" s="62"/>
      <c r="D1534" s="17"/>
      <c r="E1534" s="17"/>
      <c r="F1534" s="17"/>
      <c r="G1534" s="17"/>
      <c r="H1534" s="30"/>
      <c r="I1534" s="30"/>
      <c r="J1534" s="30"/>
      <c r="K1534" s="29"/>
      <c r="L1534" s="30"/>
      <c r="M1534" s="98"/>
      <c r="N1534" s="30"/>
      <c r="O1534" s="30"/>
      <c r="P1534" s="30"/>
      <c r="Q1534" s="29"/>
      <c r="R1534" s="30"/>
      <c r="S1534" s="98"/>
      <c r="T1534" s="17"/>
      <c r="U1534" s="17"/>
      <c r="V1534" s="17"/>
      <c r="W1534" s="29"/>
      <c r="X1534" s="17"/>
      <c r="Y1534" s="275"/>
      <c r="Z1534" s="17"/>
      <c r="AA1534" s="17"/>
      <c r="AB1534" s="17"/>
      <c r="AC1534" s="17"/>
      <c r="AD1534" s="276"/>
      <c r="AE1534" s="276"/>
      <c r="AF1534" s="276"/>
      <c r="AG1534" s="276"/>
      <c r="AH1534" s="276"/>
      <c r="AI1534" s="276"/>
      <c r="AJ1534" s="276"/>
      <c r="AK1534" s="276"/>
      <c r="AL1534" s="276"/>
      <c r="AM1534" s="276"/>
      <c r="AN1534" s="276"/>
      <c r="AO1534" s="276"/>
      <c r="AP1534" s="276"/>
      <c r="AQ1534" s="276"/>
      <c r="AR1534" s="277"/>
      <c r="AMK1534" s="27"/>
    </row>
    <row r="1535" spans="1:86 1025:1025" s="21" customFormat="1" ht="23.25" customHeight="1" x14ac:dyDescent="0.2">
      <c r="A1535" s="97">
        <v>2</v>
      </c>
      <c r="B1535" s="30"/>
      <c r="C1535" s="62"/>
      <c r="D1535" s="17"/>
      <c r="E1535" s="18"/>
      <c r="F1535" s="22"/>
      <c r="G1535" s="18"/>
      <c r="H1535" s="109"/>
      <c r="I1535" s="109"/>
      <c r="J1535" s="110"/>
      <c r="K1535" s="24"/>
      <c r="L1535" s="23"/>
      <c r="M1535" s="93"/>
      <c r="N1535" s="24"/>
      <c r="O1535" s="24"/>
      <c r="P1535" s="24"/>
      <c r="Q1535" s="24"/>
      <c r="R1535" s="24"/>
      <c r="S1535" s="104"/>
      <c r="T1535" s="61"/>
      <c r="U1535" s="61"/>
      <c r="V1535" s="104"/>
      <c r="W1535" s="104"/>
      <c r="X1535" s="104"/>
      <c r="Y1535" s="104"/>
      <c r="Z1535" s="104"/>
      <c r="AA1535" s="104"/>
      <c r="AB1535" s="104"/>
      <c r="AC1535" s="104"/>
      <c r="AD1535" s="104"/>
      <c r="AE1535" s="104"/>
      <c r="AF1535" s="104"/>
      <c r="AG1535" s="104"/>
      <c r="AH1535" s="104"/>
      <c r="AI1535" s="104"/>
      <c r="AJ1535" s="104"/>
      <c r="AK1535" s="104"/>
      <c r="AL1535" s="104"/>
      <c r="AM1535" s="104"/>
      <c r="AN1535" s="104"/>
      <c r="AO1535" s="104"/>
      <c r="AP1535" s="104"/>
      <c r="AQ1535" s="104"/>
      <c r="AR1535" s="104"/>
      <c r="AS1535" s="19"/>
      <c r="AT1535" s="19"/>
      <c r="AU1535" s="19"/>
      <c r="AV1535" s="19"/>
      <c r="AW1535" s="19"/>
      <c r="AX1535" s="19"/>
      <c r="AY1535" s="19"/>
      <c r="AZ1535" s="19"/>
      <c r="BA1535" s="19"/>
      <c r="BB1535" s="19"/>
      <c r="BC1535" s="19"/>
      <c r="BD1535" s="19"/>
      <c r="BE1535" s="19"/>
      <c r="BF1535" s="19"/>
      <c r="BG1535" s="19"/>
      <c r="BH1535" s="19"/>
      <c r="BI1535" s="19"/>
      <c r="BJ1535" s="19"/>
      <c r="BK1535" s="19"/>
      <c r="BL1535" s="19"/>
      <c r="BM1535" s="19"/>
      <c r="BN1535" s="19"/>
      <c r="BO1535" s="19"/>
      <c r="BP1535" s="19"/>
      <c r="BQ1535" s="19"/>
      <c r="BR1535" s="19"/>
      <c r="BS1535" s="19"/>
      <c r="BT1535" s="19"/>
      <c r="BU1535" s="19"/>
      <c r="BV1535" s="19"/>
      <c r="BW1535" s="19"/>
      <c r="BX1535" s="19"/>
      <c r="BY1535" s="19"/>
      <c r="BZ1535" s="19"/>
      <c r="CA1535" s="19"/>
      <c r="CB1535" s="19"/>
      <c r="CC1535" s="19"/>
      <c r="CD1535" s="19"/>
      <c r="CE1535" s="19"/>
      <c r="CF1535" s="19"/>
      <c r="CG1535" s="19"/>
      <c r="CH1535" s="19"/>
    </row>
    <row r="1536" spans="1:86 1025:1025" s="12" customFormat="1" ht="36" customHeight="1" x14ac:dyDescent="0.25">
      <c r="A1536" s="1799" t="s">
        <v>16</v>
      </c>
      <c r="B1536" s="1800"/>
      <c r="C1536" s="1801"/>
      <c r="D1536" s="105"/>
      <c r="E1536" s="105"/>
      <c r="F1536" s="105"/>
      <c r="G1536" s="105"/>
      <c r="H1536" s="105"/>
      <c r="I1536" s="105"/>
      <c r="J1536" s="105"/>
      <c r="K1536" s="111"/>
      <c r="L1536" s="112"/>
      <c r="M1536" s="107"/>
      <c r="N1536" s="105"/>
      <c r="O1536" s="105"/>
      <c r="P1536" s="105"/>
      <c r="Q1536" s="113"/>
      <c r="R1536" s="107"/>
      <c r="S1536" s="107"/>
      <c r="T1536" s="114"/>
      <c r="U1536" s="114"/>
      <c r="V1536" s="107"/>
      <c r="W1536" s="113"/>
      <c r="X1536" s="107"/>
      <c r="Y1536" s="107"/>
      <c r="Z1536" s="107"/>
      <c r="AA1536" s="107"/>
      <c r="AB1536" s="107"/>
      <c r="AC1536" s="113"/>
      <c r="AD1536" s="107"/>
      <c r="AE1536" s="107"/>
      <c r="AF1536" s="107"/>
      <c r="AG1536" s="107"/>
      <c r="AH1536" s="107"/>
      <c r="AI1536" s="113"/>
      <c r="AJ1536" s="107"/>
      <c r="AK1536" s="107"/>
      <c r="AL1536" s="107"/>
      <c r="AM1536" s="107"/>
      <c r="AN1536" s="107"/>
      <c r="AO1536" s="113"/>
      <c r="AP1536" s="107"/>
      <c r="AQ1536" s="107"/>
      <c r="AR1536" s="107"/>
      <c r="AS1536" s="13"/>
      <c r="AT1536" s="13"/>
      <c r="AU1536" s="13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1"/>
      <c r="BH1536" s="11"/>
      <c r="BI1536" s="11"/>
      <c r="BJ1536" s="11"/>
      <c r="BK1536" s="11"/>
      <c r="BL1536" s="11"/>
      <c r="BM1536" s="11"/>
      <c r="BN1536" s="11"/>
      <c r="BO1536" s="11"/>
      <c r="BP1536" s="11"/>
      <c r="BQ1536" s="11"/>
      <c r="BR1536" s="11"/>
      <c r="BS1536" s="11"/>
      <c r="BT1536" s="11"/>
      <c r="BU1536" s="11"/>
      <c r="BV1536" s="11"/>
      <c r="BW1536" s="11"/>
      <c r="BX1536" s="11"/>
      <c r="BY1536" s="11"/>
      <c r="BZ1536" s="11"/>
      <c r="CA1536" s="11"/>
      <c r="CB1536" s="11"/>
      <c r="CC1536" s="11"/>
      <c r="CD1536" s="11"/>
      <c r="CE1536" s="11"/>
      <c r="CF1536" s="11"/>
      <c r="CG1536" s="11"/>
      <c r="CH1536" s="11"/>
    </row>
    <row r="1537" spans="1:86" ht="27" customHeight="1" x14ac:dyDescent="0.25">
      <c r="A1537" s="2352" t="s">
        <v>16</v>
      </c>
      <c r="B1537" s="2352"/>
      <c r="C1537" s="2352"/>
      <c r="D1537" s="2352"/>
      <c r="E1537" s="2352"/>
      <c r="F1537" s="2352"/>
      <c r="G1537" s="2352"/>
      <c r="H1537" s="2352"/>
      <c r="I1537" s="2352"/>
      <c r="J1537" s="1306" t="s">
        <v>5</v>
      </c>
      <c r="K1537" s="199"/>
      <c r="L1537" s="272" t="s">
        <v>2</v>
      </c>
      <c r="M1537" s="1313"/>
      <c r="N1537" s="198"/>
      <c r="O1537" s="272"/>
      <c r="P1537" s="1306" t="s">
        <v>5</v>
      </c>
      <c r="Q1537" s="199"/>
      <c r="R1537" s="272" t="s">
        <v>2</v>
      </c>
      <c r="S1537" s="1313"/>
      <c r="T1537" s="198"/>
      <c r="U1537" s="272"/>
      <c r="V1537" s="1306" t="s">
        <v>5</v>
      </c>
      <c r="W1537" s="199"/>
      <c r="X1537" s="272" t="s">
        <v>2</v>
      </c>
      <c r="Y1537" s="1313"/>
      <c r="Z1537" s="198"/>
      <c r="AA1537" s="272"/>
      <c r="AB1537" s="1306" t="s">
        <v>5</v>
      </c>
      <c r="AC1537" s="199"/>
      <c r="AD1537" s="272" t="s">
        <v>2</v>
      </c>
      <c r="AE1537" s="1313"/>
      <c r="AF1537" s="198"/>
      <c r="AG1537" s="272"/>
      <c r="AH1537" s="1306" t="s">
        <v>5</v>
      </c>
      <c r="AI1537" s="199"/>
      <c r="AJ1537" s="272" t="s">
        <v>2</v>
      </c>
      <c r="AK1537" s="1313"/>
      <c r="AL1537" s="198"/>
      <c r="AM1537" s="272"/>
      <c r="AN1537" s="1306" t="s">
        <v>5</v>
      </c>
      <c r="AO1537" s="199"/>
      <c r="AP1537" s="272" t="s">
        <v>2</v>
      </c>
      <c r="AQ1537" s="1313"/>
      <c r="AR1537" s="198"/>
    </row>
    <row r="1538" spans="1:86" ht="27" customHeight="1" x14ac:dyDescent="0.25">
      <c r="A1538" s="2352"/>
      <c r="B1538" s="2352"/>
      <c r="C1538" s="2352"/>
      <c r="D1538" s="2352"/>
      <c r="E1538" s="2352"/>
      <c r="F1538" s="2352"/>
      <c r="G1538" s="2352"/>
      <c r="H1538" s="2352"/>
      <c r="I1538" s="2352"/>
      <c r="J1538" s="1307"/>
      <c r="K1538" s="199"/>
      <c r="L1538" s="272" t="s">
        <v>4</v>
      </c>
      <c r="M1538" s="1314"/>
      <c r="N1538" s="198"/>
      <c r="O1538" s="272"/>
      <c r="P1538" s="1307"/>
      <c r="Q1538" s="199"/>
      <c r="R1538" s="272" t="s">
        <v>4</v>
      </c>
      <c r="S1538" s="1314"/>
      <c r="T1538" s="198"/>
      <c r="U1538" s="272"/>
      <c r="V1538" s="1307"/>
      <c r="W1538" s="199"/>
      <c r="X1538" s="272" t="s">
        <v>4</v>
      </c>
      <c r="Y1538" s="1314"/>
      <c r="Z1538" s="198"/>
      <c r="AA1538" s="272"/>
      <c r="AB1538" s="1307"/>
      <c r="AC1538" s="199"/>
      <c r="AD1538" s="272" t="s">
        <v>4</v>
      </c>
      <c r="AE1538" s="1314"/>
      <c r="AF1538" s="198"/>
      <c r="AG1538" s="272"/>
      <c r="AH1538" s="1307"/>
      <c r="AI1538" s="199"/>
      <c r="AJ1538" s="272" t="s">
        <v>4</v>
      </c>
      <c r="AK1538" s="1314"/>
      <c r="AL1538" s="198"/>
      <c r="AM1538" s="272"/>
      <c r="AN1538" s="1307"/>
      <c r="AO1538" s="199"/>
      <c r="AP1538" s="272" t="s">
        <v>4</v>
      </c>
      <c r="AQ1538" s="1314"/>
      <c r="AR1538" s="198"/>
    </row>
    <row r="1539" spans="1:86" ht="21.75" customHeight="1" x14ac:dyDescent="0.25">
      <c r="A1539" s="2352"/>
      <c r="B1539" s="2352"/>
      <c r="C1539" s="2352"/>
      <c r="D1539" s="2352"/>
      <c r="E1539" s="2352"/>
      <c r="F1539" s="2352"/>
      <c r="G1539" s="2352"/>
      <c r="H1539" s="2352"/>
      <c r="I1539" s="2352"/>
      <c r="J1539" s="1306" t="s">
        <v>32</v>
      </c>
      <c r="K1539" s="199"/>
      <c r="L1539" s="272" t="s">
        <v>2</v>
      </c>
      <c r="M1539" s="1313"/>
      <c r="N1539" s="198"/>
      <c r="O1539" s="272"/>
      <c r="P1539" s="1306" t="s">
        <v>32</v>
      </c>
      <c r="Q1539" s="199"/>
      <c r="R1539" s="272" t="s">
        <v>2</v>
      </c>
      <c r="S1539" s="1313"/>
      <c r="T1539" s="198"/>
      <c r="U1539" s="272"/>
      <c r="V1539" s="1306" t="s">
        <v>32</v>
      </c>
      <c r="W1539" s="199"/>
      <c r="X1539" s="272" t="s">
        <v>2</v>
      </c>
      <c r="Y1539" s="1313"/>
      <c r="Z1539" s="198"/>
      <c r="AA1539" s="272"/>
      <c r="AB1539" s="1306" t="s">
        <v>32</v>
      </c>
      <c r="AC1539" s="199"/>
      <c r="AD1539" s="272" t="s">
        <v>2</v>
      </c>
      <c r="AE1539" s="1313"/>
      <c r="AF1539" s="198"/>
      <c r="AG1539" s="272"/>
      <c r="AH1539" s="1306" t="s">
        <v>32</v>
      </c>
      <c r="AI1539" s="199"/>
      <c r="AJ1539" s="272" t="s">
        <v>2</v>
      </c>
      <c r="AK1539" s="1313"/>
      <c r="AL1539" s="198"/>
      <c r="AM1539" s="272"/>
      <c r="AN1539" s="1306" t="s">
        <v>32</v>
      </c>
      <c r="AO1539" s="199"/>
      <c r="AP1539" s="272" t="s">
        <v>2</v>
      </c>
      <c r="AQ1539" s="1313"/>
      <c r="AR1539" s="198"/>
    </row>
    <row r="1540" spans="1:86" ht="21.75" customHeight="1" x14ac:dyDescent="0.25">
      <c r="A1540" s="2352"/>
      <c r="B1540" s="2352"/>
      <c r="C1540" s="2352"/>
      <c r="D1540" s="2352"/>
      <c r="E1540" s="2352"/>
      <c r="F1540" s="2352"/>
      <c r="G1540" s="2352"/>
      <c r="H1540" s="2352"/>
      <c r="I1540" s="2352"/>
      <c r="J1540" s="1307"/>
      <c r="K1540" s="199"/>
      <c r="L1540" s="272" t="s">
        <v>4</v>
      </c>
      <c r="M1540" s="1314"/>
      <c r="N1540" s="198"/>
      <c r="O1540" s="272"/>
      <c r="P1540" s="1307"/>
      <c r="Q1540" s="199"/>
      <c r="R1540" s="272" t="s">
        <v>4</v>
      </c>
      <c r="S1540" s="1314"/>
      <c r="T1540" s="198"/>
      <c r="U1540" s="272"/>
      <c r="V1540" s="1307"/>
      <c r="W1540" s="199"/>
      <c r="X1540" s="272" t="s">
        <v>4</v>
      </c>
      <c r="Y1540" s="1314"/>
      <c r="Z1540" s="198"/>
      <c r="AA1540" s="272"/>
      <c r="AB1540" s="1307"/>
      <c r="AC1540" s="199"/>
      <c r="AD1540" s="272" t="s">
        <v>4</v>
      </c>
      <c r="AE1540" s="1314"/>
      <c r="AF1540" s="198"/>
      <c r="AG1540" s="272"/>
      <c r="AH1540" s="1307"/>
      <c r="AI1540" s="199"/>
      <c r="AJ1540" s="272" t="s">
        <v>4</v>
      </c>
      <c r="AK1540" s="1314"/>
      <c r="AL1540" s="198"/>
      <c r="AM1540" s="272"/>
      <c r="AN1540" s="1307"/>
      <c r="AO1540" s="199"/>
      <c r="AP1540" s="272" t="s">
        <v>4</v>
      </c>
      <c r="AQ1540" s="1314"/>
      <c r="AR1540" s="198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</row>
    <row r="1541" spans="1:86" ht="21.75" customHeight="1" x14ac:dyDescent="0.25">
      <c r="A1541" s="2352"/>
      <c r="B1541" s="2352"/>
      <c r="C1541" s="2352"/>
      <c r="D1541" s="2352"/>
      <c r="E1541" s="2352"/>
      <c r="F1541" s="2352"/>
      <c r="G1541" s="2352"/>
      <c r="H1541" s="2352"/>
      <c r="I1541" s="2352"/>
      <c r="J1541" s="1306" t="s">
        <v>33</v>
      </c>
      <c r="K1541" s="199"/>
      <c r="L1541" s="272" t="s">
        <v>2</v>
      </c>
      <c r="M1541" s="1313"/>
      <c r="N1541" s="198"/>
      <c r="O1541" s="272"/>
      <c r="P1541" s="1306" t="s">
        <v>33</v>
      </c>
      <c r="Q1541" s="199"/>
      <c r="R1541" s="272" t="s">
        <v>2</v>
      </c>
      <c r="S1541" s="1313"/>
      <c r="T1541" s="198"/>
      <c r="U1541" s="272"/>
      <c r="V1541" s="1306" t="s">
        <v>33</v>
      </c>
      <c r="W1541" s="199"/>
      <c r="X1541" s="272" t="s">
        <v>2</v>
      </c>
      <c r="Y1541" s="1313"/>
      <c r="Z1541" s="198"/>
      <c r="AA1541" s="272"/>
      <c r="AB1541" s="1306" t="s">
        <v>33</v>
      </c>
      <c r="AC1541" s="199"/>
      <c r="AD1541" s="272" t="s">
        <v>2</v>
      </c>
      <c r="AE1541" s="1313"/>
      <c r="AF1541" s="198"/>
      <c r="AG1541" s="272"/>
      <c r="AH1541" s="1306" t="s">
        <v>33</v>
      </c>
      <c r="AI1541" s="199"/>
      <c r="AJ1541" s="272" t="s">
        <v>2</v>
      </c>
      <c r="AK1541" s="1313"/>
      <c r="AL1541" s="198"/>
      <c r="AM1541" s="272"/>
      <c r="AN1541" s="1306" t="s">
        <v>33</v>
      </c>
      <c r="AO1541" s="199"/>
      <c r="AP1541" s="272" t="s">
        <v>2</v>
      </c>
      <c r="AQ1541" s="1313"/>
      <c r="AR1541" s="198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</row>
    <row r="1542" spans="1:86" ht="21.75" customHeight="1" x14ac:dyDescent="0.25">
      <c r="A1542" s="2352"/>
      <c r="B1542" s="2352"/>
      <c r="C1542" s="2352"/>
      <c r="D1542" s="2352"/>
      <c r="E1542" s="2352"/>
      <c r="F1542" s="2352"/>
      <c r="G1542" s="2352"/>
      <c r="H1542" s="2352"/>
      <c r="I1542" s="2352"/>
      <c r="J1542" s="1307"/>
      <c r="K1542" s="199"/>
      <c r="L1542" s="272" t="s">
        <v>4</v>
      </c>
      <c r="M1542" s="1315"/>
      <c r="N1542" s="198"/>
      <c r="O1542" s="272"/>
      <c r="P1542" s="1307"/>
      <c r="Q1542" s="199"/>
      <c r="R1542" s="272" t="s">
        <v>4</v>
      </c>
      <c r="S1542" s="1315"/>
      <c r="T1542" s="198"/>
      <c r="U1542" s="272"/>
      <c r="V1542" s="1307"/>
      <c r="W1542" s="199"/>
      <c r="X1542" s="272" t="s">
        <v>4</v>
      </c>
      <c r="Y1542" s="1315"/>
      <c r="Z1542" s="198"/>
      <c r="AA1542" s="272"/>
      <c r="AB1542" s="1307"/>
      <c r="AC1542" s="199"/>
      <c r="AD1542" s="272" t="s">
        <v>4</v>
      </c>
      <c r="AE1542" s="1315"/>
      <c r="AF1542" s="198"/>
      <c r="AG1542" s="272"/>
      <c r="AH1542" s="1307"/>
      <c r="AI1542" s="199"/>
      <c r="AJ1542" s="272" t="s">
        <v>4</v>
      </c>
      <c r="AK1542" s="1315"/>
      <c r="AL1542" s="198"/>
      <c r="AM1542" s="272"/>
      <c r="AN1542" s="1307"/>
      <c r="AO1542" s="199"/>
      <c r="AP1542" s="272" t="s">
        <v>4</v>
      </c>
      <c r="AQ1542" s="1315"/>
      <c r="AR1542" s="198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</row>
    <row r="1543" spans="1:86" ht="21.75" customHeight="1" x14ac:dyDescent="0.25">
      <c r="A1543" s="2352"/>
      <c r="B1543" s="2352"/>
      <c r="C1543" s="2352"/>
      <c r="D1543" s="2352"/>
      <c r="E1543" s="2352"/>
      <c r="F1543" s="2352"/>
      <c r="G1543" s="2352"/>
      <c r="H1543" s="2352"/>
      <c r="I1543" s="2352"/>
      <c r="J1543" s="1306" t="s">
        <v>34</v>
      </c>
      <c r="K1543" s="199"/>
      <c r="L1543" s="272" t="s">
        <v>2</v>
      </c>
      <c r="M1543" s="1313"/>
      <c r="N1543" s="198"/>
      <c r="O1543" s="272"/>
      <c r="P1543" s="1306" t="s">
        <v>34</v>
      </c>
      <c r="Q1543" s="199"/>
      <c r="R1543" s="272" t="s">
        <v>2</v>
      </c>
      <c r="S1543" s="1313"/>
      <c r="T1543" s="198"/>
      <c r="U1543" s="272"/>
      <c r="V1543" s="1306" t="s">
        <v>34</v>
      </c>
      <c r="W1543" s="199"/>
      <c r="X1543" s="272" t="s">
        <v>2</v>
      </c>
      <c r="Y1543" s="1313"/>
      <c r="Z1543" s="198"/>
      <c r="AA1543" s="272"/>
      <c r="AB1543" s="1306" t="s">
        <v>34</v>
      </c>
      <c r="AC1543" s="199"/>
      <c r="AD1543" s="272" t="s">
        <v>2</v>
      </c>
      <c r="AE1543" s="1313"/>
      <c r="AF1543" s="198"/>
      <c r="AG1543" s="272"/>
      <c r="AH1543" s="1306" t="s">
        <v>34</v>
      </c>
      <c r="AI1543" s="199"/>
      <c r="AJ1543" s="272" t="s">
        <v>2</v>
      </c>
      <c r="AK1543" s="1313"/>
      <c r="AL1543" s="198"/>
      <c r="AM1543" s="272"/>
      <c r="AN1543" s="1306" t="s">
        <v>34</v>
      </c>
      <c r="AO1543" s="199"/>
      <c r="AP1543" s="272" t="s">
        <v>2</v>
      </c>
      <c r="AQ1543" s="1313"/>
      <c r="AR1543" s="198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</row>
    <row r="1544" spans="1:86" ht="21.75" customHeight="1" x14ac:dyDescent="0.25">
      <c r="A1544" s="2352"/>
      <c r="B1544" s="2352"/>
      <c r="C1544" s="2352"/>
      <c r="D1544" s="2352"/>
      <c r="E1544" s="2352"/>
      <c r="F1544" s="2352"/>
      <c r="G1544" s="2352"/>
      <c r="H1544" s="2352"/>
      <c r="I1544" s="2352"/>
      <c r="J1544" s="1307"/>
      <c r="K1544" s="199"/>
      <c r="L1544" s="272" t="s">
        <v>4</v>
      </c>
      <c r="M1544" s="1314"/>
      <c r="N1544" s="198"/>
      <c r="O1544" s="272"/>
      <c r="P1544" s="1307"/>
      <c r="Q1544" s="199"/>
      <c r="R1544" s="272" t="s">
        <v>4</v>
      </c>
      <c r="S1544" s="1314"/>
      <c r="T1544" s="198"/>
      <c r="U1544" s="272"/>
      <c r="V1544" s="1307"/>
      <c r="W1544" s="199"/>
      <c r="X1544" s="272" t="s">
        <v>4</v>
      </c>
      <c r="Y1544" s="1314"/>
      <c r="Z1544" s="198"/>
      <c r="AA1544" s="272"/>
      <c r="AB1544" s="1307"/>
      <c r="AC1544" s="199"/>
      <c r="AD1544" s="272" t="s">
        <v>4</v>
      </c>
      <c r="AE1544" s="1314"/>
      <c r="AF1544" s="198"/>
      <c r="AG1544" s="272"/>
      <c r="AH1544" s="1307"/>
      <c r="AI1544" s="199"/>
      <c r="AJ1544" s="272" t="s">
        <v>4</v>
      </c>
      <c r="AK1544" s="1314"/>
      <c r="AL1544" s="198"/>
      <c r="AM1544" s="272"/>
      <c r="AN1544" s="1307"/>
      <c r="AO1544" s="199"/>
      <c r="AP1544" s="272" t="s">
        <v>4</v>
      </c>
      <c r="AQ1544" s="1314"/>
      <c r="AR1544" s="198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</row>
    <row r="1545" spans="1:86" ht="21.75" customHeight="1" x14ac:dyDescent="0.25">
      <c r="A1545" s="2352"/>
      <c r="B1545" s="2352"/>
      <c r="C1545" s="2352"/>
      <c r="D1545" s="2352"/>
      <c r="E1545" s="2352"/>
      <c r="F1545" s="2352"/>
      <c r="G1545" s="2352"/>
      <c r="H1545" s="2352"/>
      <c r="I1545" s="2352"/>
      <c r="J1545" s="1306" t="s">
        <v>1038</v>
      </c>
      <c r="K1545" s="199"/>
      <c r="L1545" s="272" t="s">
        <v>1044</v>
      </c>
      <c r="M1545" s="1313"/>
      <c r="N1545" s="198"/>
      <c r="O1545" s="272"/>
      <c r="P1545" s="1306" t="s">
        <v>1038</v>
      </c>
      <c r="Q1545" s="199"/>
      <c r="R1545" s="272" t="s">
        <v>1044</v>
      </c>
      <c r="S1545" s="1313"/>
      <c r="T1545" s="198"/>
      <c r="U1545" s="272"/>
      <c r="V1545" s="1306" t="s">
        <v>1038</v>
      </c>
      <c r="W1545" s="199"/>
      <c r="X1545" s="272" t="s">
        <v>1044</v>
      </c>
      <c r="Y1545" s="1313"/>
      <c r="Z1545" s="198"/>
      <c r="AA1545" s="272"/>
      <c r="AB1545" s="1306" t="s">
        <v>1038</v>
      </c>
      <c r="AC1545" s="199"/>
      <c r="AD1545" s="272" t="s">
        <v>1044</v>
      </c>
      <c r="AE1545" s="1313"/>
      <c r="AF1545" s="198"/>
      <c r="AG1545" s="272"/>
      <c r="AH1545" s="1306" t="s">
        <v>1038</v>
      </c>
      <c r="AI1545" s="199"/>
      <c r="AJ1545" s="272" t="s">
        <v>1044</v>
      </c>
      <c r="AK1545" s="1313"/>
      <c r="AL1545" s="198"/>
      <c r="AM1545" s="272"/>
      <c r="AN1545" s="1306" t="s">
        <v>1038</v>
      </c>
      <c r="AO1545" s="199"/>
      <c r="AP1545" s="272" t="s">
        <v>1044</v>
      </c>
      <c r="AQ1545" s="1313"/>
      <c r="AR1545" s="198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</row>
    <row r="1546" spans="1:86" x14ac:dyDescent="0.25">
      <c r="A1546" s="2352"/>
      <c r="B1546" s="2352"/>
      <c r="C1546" s="2352"/>
      <c r="D1546" s="2352"/>
      <c r="E1546" s="2352"/>
      <c r="F1546" s="2352"/>
      <c r="G1546" s="2352"/>
      <c r="H1546" s="2352"/>
      <c r="I1546" s="2352"/>
      <c r="J1546" s="1309"/>
      <c r="K1546" s="199"/>
      <c r="L1546" s="272" t="s">
        <v>2</v>
      </c>
      <c r="M1546" s="1314"/>
      <c r="N1546" s="198"/>
      <c r="O1546" s="272"/>
      <c r="P1546" s="1309"/>
      <c r="Q1546" s="199"/>
      <c r="R1546" s="272" t="s">
        <v>2</v>
      </c>
      <c r="S1546" s="1314"/>
      <c r="T1546" s="198"/>
      <c r="U1546" s="272"/>
      <c r="V1546" s="1309"/>
      <c r="W1546" s="199"/>
      <c r="X1546" s="272" t="s">
        <v>2</v>
      </c>
      <c r="Y1546" s="1314"/>
      <c r="Z1546" s="198"/>
      <c r="AA1546" s="272"/>
      <c r="AB1546" s="1309"/>
      <c r="AC1546" s="199"/>
      <c r="AD1546" s="272" t="s">
        <v>2</v>
      </c>
      <c r="AE1546" s="1314"/>
      <c r="AF1546" s="198"/>
      <c r="AG1546" s="272"/>
      <c r="AH1546" s="1309"/>
      <c r="AI1546" s="199"/>
      <c r="AJ1546" s="272" t="s">
        <v>2</v>
      </c>
      <c r="AK1546" s="1314"/>
      <c r="AL1546" s="198"/>
      <c r="AM1546" s="272"/>
      <c r="AN1546" s="1309"/>
      <c r="AO1546" s="199"/>
      <c r="AP1546" s="272" t="s">
        <v>2</v>
      </c>
      <c r="AQ1546" s="1314"/>
      <c r="AR1546" s="198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</row>
    <row r="1547" spans="1:86" x14ac:dyDescent="0.25">
      <c r="A1547" s="2352"/>
      <c r="B1547" s="2352"/>
      <c r="C1547" s="2352"/>
      <c r="D1547" s="2352"/>
      <c r="E1547" s="2352"/>
      <c r="F1547" s="2352"/>
      <c r="G1547" s="2352"/>
      <c r="H1547" s="2352"/>
      <c r="I1547" s="2352"/>
      <c r="J1547" s="1307"/>
      <c r="K1547" s="199"/>
      <c r="L1547" s="272" t="s">
        <v>4</v>
      </c>
      <c r="M1547" s="1315"/>
      <c r="N1547" s="198"/>
      <c r="O1547" s="272"/>
      <c r="P1547" s="1307"/>
      <c r="Q1547" s="199"/>
      <c r="R1547" s="272" t="s">
        <v>4</v>
      </c>
      <c r="S1547" s="1315"/>
      <c r="T1547" s="198"/>
      <c r="U1547" s="272"/>
      <c r="V1547" s="1307"/>
      <c r="W1547" s="199"/>
      <c r="X1547" s="272" t="s">
        <v>4</v>
      </c>
      <c r="Y1547" s="1315"/>
      <c r="Z1547" s="198"/>
      <c r="AA1547" s="272"/>
      <c r="AB1547" s="1307"/>
      <c r="AC1547" s="199"/>
      <c r="AD1547" s="272" t="s">
        <v>4</v>
      </c>
      <c r="AE1547" s="1315"/>
      <c r="AF1547" s="198"/>
      <c r="AG1547" s="272"/>
      <c r="AH1547" s="1307"/>
      <c r="AI1547" s="199"/>
      <c r="AJ1547" s="272" t="s">
        <v>4</v>
      </c>
      <c r="AK1547" s="1315"/>
      <c r="AL1547" s="198"/>
      <c r="AM1547" s="272"/>
      <c r="AN1547" s="1307"/>
      <c r="AO1547" s="199"/>
      <c r="AP1547" s="272" t="s">
        <v>4</v>
      </c>
      <c r="AQ1547" s="1315"/>
      <c r="AR1547" s="198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</row>
    <row r="1548" spans="1:86" x14ac:dyDescent="0.25">
      <c r="A1548" s="2352"/>
      <c r="B1548" s="2352"/>
      <c r="C1548" s="2352"/>
      <c r="D1548" s="2352"/>
      <c r="E1548" s="2352"/>
      <c r="F1548" s="2352"/>
      <c r="G1548" s="2352"/>
      <c r="H1548" s="2352"/>
      <c r="I1548" s="2352"/>
      <c r="J1548" s="1306" t="s">
        <v>1037</v>
      </c>
      <c r="K1548" s="199"/>
      <c r="L1548" s="272" t="s">
        <v>1044</v>
      </c>
      <c r="M1548" s="1313"/>
      <c r="N1548" s="198"/>
      <c r="O1548" s="272"/>
      <c r="P1548" s="1306" t="s">
        <v>1037</v>
      </c>
      <c r="Q1548" s="199"/>
      <c r="R1548" s="272" t="s">
        <v>1044</v>
      </c>
      <c r="S1548" s="1313"/>
      <c r="T1548" s="198"/>
      <c r="U1548" s="272"/>
      <c r="V1548" s="1306" t="s">
        <v>1037</v>
      </c>
      <c r="W1548" s="199"/>
      <c r="X1548" s="272" t="s">
        <v>1044</v>
      </c>
      <c r="Y1548" s="1313"/>
      <c r="Z1548" s="198"/>
      <c r="AA1548" s="272"/>
      <c r="AB1548" s="1306" t="s">
        <v>1037</v>
      </c>
      <c r="AC1548" s="199"/>
      <c r="AD1548" s="272" t="s">
        <v>1044</v>
      </c>
      <c r="AE1548" s="1313"/>
      <c r="AF1548" s="198"/>
      <c r="AG1548" s="272"/>
      <c r="AH1548" s="1306" t="s">
        <v>1037</v>
      </c>
      <c r="AI1548" s="199"/>
      <c r="AJ1548" s="272" t="s">
        <v>1044</v>
      </c>
      <c r="AK1548" s="1313"/>
      <c r="AL1548" s="198"/>
      <c r="AM1548" s="272"/>
      <c r="AN1548" s="1306" t="s">
        <v>1037</v>
      </c>
      <c r="AO1548" s="199"/>
      <c r="AP1548" s="272" t="s">
        <v>1044</v>
      </c>
      <c r="AQ1548" s="1313"/>
      <c r="AR1548" s="198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</row>
    <row r="1549" spans="1:86" x14ac:dyDescent="0.25">
      <c r="A1549" s="2352"/>
      <c r="B1549" s="2352"/>
      <c r="C1549" s="2352"/>
      <c r="D1549" s="2352"/>
      <c r="E1549" s="2352"/>
      <c r="F1549" s="2352"/>
      <c r="G1549" s="2352"/>
      <c r="H1549" s="2352"/>
      <c r="I1549" s="2352"/>
      <c r="J1549" s="1309"/>
      <c r="K1549" s="199"/>
      <c r="L1549" s="272" t="s">
        <v>2</v>
      </c>
      <c r="M1549" s="1314"/>
      <c r="N1549" s="198"/>
      <c r="O1549" s="272"/>
      <c r="P1549" s="1309"/>
      <c r="Q1549" s="199"/>
      <c r="R1549" s="272" t="s">
        <v>2</v>
      </c>
      <c r="S1549" s="1314"/>
      <c r="T1549" s="198"/>
      <c r="U1549" s="272"/>
      <c r="V1549" s="1309"/>
      <c r="W1549" s="199"/>
      <c r="X1549" s="272" t="s">
        <v>2</v>
      </c>
      <c r="Y1549" s="1314"/>
      <c r="Z1549" s="198"/>
      <c r="AA1549" s="272"/>
      <c r="AB1549" s="1309"/>
      <c r="AC1549" s="199"/>
      <c r="AD1549" s="272" t="s">
        <v>2</v>
      </c>
      <c r="AE1549" s="1314"/>
      <c r="AF1549" s="198"/>
      <c r="AG1549" s="272"/>
      <c r="AH1549" s="1309"/>
      <c r="AI1549" s="199"/>
      <c r="AJ1549" s="272" t="s">
        <v>2</v>
      </c>
      <c r="AK1549" s="1314"/>
      <c r="AL1549" s="198"/>
      <c r="AM1549" s="272"/>
      <c r="AN1549" s="1309"/>
      <c r="AO1549" s="199"/>
      <c r="AP1549" s="272" t="s">
        <v>2</v>
      </c>
      <c r="AQ1549" s="1314"/>
      <c r="AR1549" s="198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</row>
    <row r="1550" spans="1:86" ht="19.5" customHeight="1" x14ac:dyDescent="0.25">
      <c r="A1550" s="2352"/>
      <c r="B1550" s="2352"/>
      <c r="C1550" s="2352"/>
      <c r="D1550" s="2352"/>
      <c r="E1550" s="2352"/>
      <c r="F1550" s="2352"/>
      <c r="G1550" s="2352"/>
      <c r="H1550" s="2352"/>
      <c r="I1550" s="2352"/>
      <c r="J1550" s="1307"/>
      <c r="K1550" s="199"/>
      <c r="L1550" s="272" t="s">
        <v>4</v>
      </c>
      <c r="M1550" s="1315"/>
      <c r="N1550" s="198"/>
      <c r="O1550" s="272"/>
      <c r="P1550" s="1307"/>
      <c r="Q1550" s="199"/>
      <c r="R1550" s="272" t="s">
        <v>4</v>
      </c>
      <c r="S1550" s="1315"/>
      <c r="T1550" s="198"/>
      <c r="U1550" s="272"/>
      <c r="V1550" s="1307"/>
      <c r="W1550" s="199"/>
      <c r="X1550" s="272" t="s">
        <v>4</v>
      </c>
      <c r="Y1550" s="1315"/>
      <c r="Z1550" s="198"/>
      <c r="AA1550" s="272"/>
      <c r="AB1550" s="1307"/>
      <c r="AC1550" s="199"/>
      <c r="AD1550" s="272" t="s">
        <v>4</v>
      </c>
      <c r="AE1550" s="1315"/>
      <c r="AF1550" s="198"/>
      <c r="AG1550" s="272"/>
      <c r="AH1550" s="1307"/>
      <c r="AI1550" s="199"/>
      <c r="AJ1550" s="272" t="s">
        <v>4</v>
      </c>
      <c r="AK1550" s="1315"/>
      <c r="AL1550" s="198"/>
      <c r="AM1550" s="272"/>
      <c r="AN1550" s="1307"/>
      <c r="AO1550" s="199"/>
      <c r="AP1550" s="272" t="s">
        <v>4</v>
      </c>
      <c r="AQ1550" s="1315"/>
      <c r="AR1550" s="198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</row>
    <row r="1551" spans="1:86" ht="19.5" customHeight="1" x14ac:dyDescent="0.25">
      <c r="A1551" s="2352"/>
      <c r="B1551" s="2352"/>
      <c r="C1551" s="2352"/>
      <c r="D1551" s="2352"/>
      <c r="E1551" s="2352"/>
      <c r="F1551" s="2352"/>
      <c r="G1551" s="2352"/>
      <c r="H1551" s="2352"/>
      <c r="I1551" s="2352"/>
      <c r="J1551" s="1306" t="s">
        <v>1039</v>
      </c>
      <c r="K1551" s="199"/>
      <c r="L1551" s="272" t="s">
        <v>1044</v>
      </c>
      <c r="M1551" s="1313"/>
      <c r="N1551" s="198"/>
      <c r="O1551" s="272"/>
      <c r="P1551" s="1306" t="s">
        <v>1039</v>
      </c>
      <c r="Q1551" s="199"/>
      <c r="R1551" s="272" t="s">
        <v>1044</v>
      </c>
      <c r="S1551" s="1313"/>
      <c r="T1551" s="198"/>
      <c r="U1551" s="272"/>
      <c r="V1551" s="1306" t="s">
        <v>1039</v>
      </c>
      <c r="W1551" s="199"/>
      <c r="X1551" s="272" t="s">
        <v>1044</v>
      </c>
      <c r="Y1551" s="1313"/>
      <c r="Z1551" s="198"/>
      <c r="AA1551" s="272"/>
      <c r="AB1551" s="1306" t="s">
        <v>1039</v>
      </c>
      <c r="AC1551" s="199"/>
      <c r="AD1551" s="272" t="s">
        <v>1044</v>
      </c>
      <c r="AE1551" s="1313"/>
      <c r="AF1551" s="198"/>
      <c r="AG1551" s="272"/>
      <c r="AH1551" s="1306" t="s">
        <v>1039</v>
      </c>
      <c r="AI1551" s="199"/>
      <c r="AJ1551" s="272" t="s">
        <v>1044</v>
      </c>
      <c r="AK1551" s="1313"/>
      <c r="AL1551" s="198"/>
      <c r="AM1551" s="272"/>
      <c r="AN1551" s="1306" t="s">
        <v>1039</v>
      </c>
      <c r="AO1551" s="199"/>
      <c r="AP1551" s="272" t="s">
        <v>1044</v>
      </c>
      <c r="AQ1551" s="1313"/>
      <c r="AR1551" s="198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</row>
    <row r="1552" spans="1:86" ht="19.5" customHeight="1" x14ac:dyDescent="0.25">
      <c r="A1552" s="2352"/>
      <c r="B1552" s="2352"/>
      <c r="C1552" s="2352"/>
      <c r="D1552" s="2352"/>
      <c r="E1552" s="2352"/>
      <c r="F1552" s="2352"/>
      <c r="G1552" s="2352"/>
      <c r="H1552" s="2352"/>
      <c r="I1552" s="2352"/>
      <c r="J1552" s="1309"/>
      <c r="K1552" s="199"/>
      <c r="L1552" s="272" t="s">
        <v>2</v>
      </c>
      <c r="M1552" s="1314"/>
      <c r="N1552" s="198"/>
      <c r="O1552" s="272"/>
      <c r="P1552" s="1309"/>
      <c r="Q1552" s="199"/>
      <c r="R1552" s="272" t="s">
        <v>2</v>
      </c>
      <c r="S1552" s="1314"/>
      <c r="T1552" s="198"/>
      <c r="U1552" s="272"/>
      <c r="V1552" s="1309"/>
      <c r="W1552" s="199"/>
      <c r="X1552" s="272" t="s">
        <v>2</v>
      </c>
      <c r="Y1552" s="1314"/>
      <c r="Z1552" s="198"/>
      <c r="AA1552" s="272"/>
      <c r="AB1552" s="1309"/>
      <c r="AC1552" s="199"/>
      <c r="AD1552" s="272" t="s">
        <v>2</v>
      </c>
      <c r="AE1552" s="1314"/>
      <c r="AF1552" s="198"/>
      <c r="AG1552" s="272"/>
      <c r="AH1552" s="1309"/>
      <c r="AI1552" s="199"/>
      <c r="AJ1552" s="272" t="s">
        <v>2</v>
      </c>
      <c r="AK1552" s="1314"/>
      <c r="AL1552" s="198"/>
      <c r="AM1552" s="272"/>
      <c r="AN1552" s="1309"/>
      <c r="AO1552" s="199"/>
      <c r="AP1552" s="272" t="s">
        <v>2</v>
      </c>
      <c r="AQ1552" s="1314"/>
      <c r="AR1552" s="198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</row>
    <row r="1553" spans="1:86" ht="19.5" customHeight="1" x14ac:dyDescent="0.25">
      <c r="A1553" s="2352"/>
      <c r="B1553" s="2352"/>
      <c r="C1553" s="2352"/>
      <c r="D1553" s="2352"/>
      <c r="E1553" s="2352"/>
      <c r="F1553" s="2352"/>
      <c r="G1553" s="2352"/>
      <c r="H1553" s="2352"/>
      <c r="I1553" s="2352"/>
      <c r="J1553" s="1307"/>
      <c r="K1553" s="199"/>
      <c r="L1553" s="272" t="s">
        <v>4</v>
      </c>
      <c r="M1553" s="1315"/>
      <c r="N1553" s="198"/>
      <c r="O1553" s="272"/>
      <c r="P1553" s="1307"/>
      <c r="Q1553" s="199"/>
      <c r="R1553" s="272" t="s">
        <v>4</v>
      </c>
      <c r="S1553" s="1315"/>
      <c r="T1553" s="198"/>
      <c r="U1553" s="272"/>
      <c r="V1553" s="1307"/>
      <c r="W1553" s="199"/>
      <c r="X1553" s="272" t="s">
        <v>4</v>
      </c>
      <c r="Y1553" s="1315"/>
      <c r="Z1553" s="198"/>
      <c r="AA1553" s="272"/>
      <c r="AB1553" s="1307"/>
      <c r="AC1553" s="199"/>
      <c r="AD1553" s="272" t="s">
        <v>4</v>
      </c>
      <c r="AE1553" s="1315"/>
      <c r="AF1553" s="198"/>
      <c r="AG1553" s="272"/>
      <c r="AH1553" s="1307"/>
      <c r="AI1553" s="199"/>
      <c r="AJ1553" s="272" t="s">
        <v>4</v>
      </c>
      <c r="AK1553" s="1315"/>
      <c r="AL1553" s="198"/>
      <c r="AM1553" s="272"/>
      <c r="AN1553" s="1307"/>
      <c r="AO1553" s="199"/>
      <c r="AP1553" s="272" t="s">
        <v>4</v>
      </c>
      <c r="AQ1553" s="1315"/>
      <c r="AR1553" s="198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</row>
    <row r="1554" spans="1:86" ht="19.5" customHeight="1" x14ac:dyDescent="0.25">
      <c r="A1554" s="2352"/>
      <c r="B1554" s="2352"/>
      <c r="C1554" s="2352"/>
      <c r="D1554" s="2352"/>
      <c r="E1554" s="2352"/>
      <c r="F1554" s="2352"/>
      <c r="G1554" s="2352"/>
      <c r="H1554" s="2352"/>
      <c r="I1554" s="2352"/>
      <c r="J1554" s="1306" t="s">
        <v>1040</v>
      </c>
      <c r="K1554" s="199"/>
      <c r="L1554" s="272" t="s">
        <v>1044</v>
      </c>
      <c r="M1554" s="1313"/>
      <c r="N1554" s="198"/>
      <c r="O1554" s="272"/>
      <c r="P1554" s="1306" t="s">
        <v>1040</v>
      </c>
      <c r="Q1554" s="199"/>
      <c r="R1554" s="272" t="s">
        <v>1044</v>
      </c>
      <c r="S1554" s="1313"/>
      <c r="T1554" s="198"/>
      <c r="U1554" s="272"/>
      <c r="V1554" s="1306" t="s">
        <v>1040</v>
      </c>
      <c r="W1554" s="199"/>
      <c r="X1554" s="272" t="s">
        <v>1044</v>
      </c>
      <c r="Y1554" s="1313"/>
      <c r="Z1554" s="198"/>
      <c r="AA1554" s="272"/>
      <c r="AB1554" s="1306" t="s">
        <v>1040</v>
      </c>
      <c r="AC1554" s="199"/>
      <c r="AD1554" s="272" t="s">
        <v>1044</v>
      </c>
      <c r="AE1554" s="1313"/>
      <c r="AF1554" s="198"/>
      <c r="AG1554" s="272"/>
      <c r="AH1554" s="1306" t="s">
        <v>1040</v>
      </c>
      <c r="AI1554" s="199"/>
      <c r="AJ1554" s="272" t="s">
        <v>1044</v>
      </c>
      <c r="AK1554" s="1313"/>
      <c r="AL1554" s="198"/>
      <c r="AM1554" s="272"/>
      <c r="AN1554" s="1306" t="s">
        <v>1040</v>
      </c>
      <c r="AO1554" s="199"/>
      <c r="AP1554" s="272" t="s">
        <v>1044</v>
      </c>
      <c r="AQ1554" s="1313"/>
      <c r="AR1554" s="198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</row>
    <row r="1555" spans="1:86" ht="19.5" customHeight="1" x14ac:dyDescent="0.25">
      <c r="A1555" s="2352"/>
      <c r="B1555" s="2352"/>
      <c r="C1555" s="2352"/>
      <c r="D1555" s="2352"/>
      <c r="E1555" s="2352"/>
      <c r="F1555" s="2352"/>
      <c r="G1555" s="2352"/>
      <c r="H1555" s="2352"/>
      <c r="I1555" s="2352"/>
      <c r="J1555" s="1309"/>
      <c r="K1555" s="199"/>
      <c r="L1555" s="272" t="s">
        <v>2</v>
      </c>
      <c r="M1555" s="1314"/>
      <c r="N1555" s="198"/>
      <c r="O1555" s="272"/>
      <c r="P1555" s="1309"/>
      <c r="Q1555" s="199"/>
      <c r="R1555" s="272" t="s">
        <v>2</v>
      </c>
      <c r="S1555" s="1314"/>
      <c r="T1555" s="198"/>
      <c r="U1555" s="272"/>
      <c r="V1555" s="1309"/>
      <c r="W1555" s="199"/>
      <c r="X1555" s="272" t="s">
        <v>2</v>
      </c>
      <c r="Y1555" s="1314"/>
      <c r="Z1555" s="198"/>
      <c r="AA1555" s="272"/>
      <c r="AB1555" s="1309"/>
      <c r="AC1555" s="199"/>
      <c r="AD1555" s="272" t="s">
        <v>2</v>
      </c>
      <c r="AE1555" s="1314"/>
      <c r="AF1555" s="198"/>
      <c r="AG1555" s="272"/>
      <c r="AH1555" s="1309"/>
      <c r="AI1555" s="199"/>
      <c r="AJ1555" s="272" t="s">
        <v>2</v>
      </c>
      <c r="AK1555" s="1314"/>
      <c r="AL1555" s="198"/>
      <c r="AM1555" s="272"/>
      <c r="AN1555" s="1309"/>
      <c r="AO1555" s="199"/>
      <c r="AP1555" s="272" t="s">
        <v>2</v>
      </c>
      <c r="AQ1555" s="1314"/>
      <c r="AR1555" s="198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</row>
    <row r="1556" spans="1:86" ht="19.5" customHeight="1" x14ac:dyDescent="0.25">
      <c r="A1556" s="2352"/>
      <c r="B1556" s="2352"/>
      <c r="C1556" s="2352"/>
      <c r="D1556" s="2352"/>
      <c r="E1556" s="2352"/>
      <c r="F1556" s="2352"/>
      <c r="G1556" s="2352"/>
      <c r="H1556" s="2352"/>
      <c r="I1556" s="2352"/>
      <c r="J1556" s="1307"/>
      <c r="K1556" s="199"/>
      <c r="L1556" s="272" t="s">
        <v>4</v>
      </c>
      <c r="M1556" s="1315"/>
      <c r="N1556" s="198"/>
      <c r="O1556" s="272"/>
      <c r="P1556" s="1307"/>
      <c r="Q1556" s="199"/>
      <c r="R1556" s="272" t="s">
        <v>4</v>
      </c>
      <c r="S1556" s="1315"/>
      <c r="T1556" s="198"/>
      <c r="U1556" s="272"/>
      <c r="V1556" s="1307"/>
      <c r="W1556" s="199"/>
      <c r="X1556" s="272" t="s">
        <v>4</v>
      </c>
      <c r="Y1556" s="1315"/>
      <c r="Z1556" s="198"/>
      <c r="AA1556" s="272"/>
      <c r="AB1556" s="1307"/>
      <c r="AC1556" s="199"/>
      <c r="AD1556" s="272" t="s">
        <v>4</v>
      </c>
      <c r="AE1556" s="1315"/>
      <c r="AF1556" s="198"/>
      <c r="AG1556" s="272"/>
      <c r="AH1556" s="1307"/>
      <c r="AI1556" s="199"/>
      <c r="AJ1556" s="272" t="s">
        <v>4</v>
      </c>
      <c r="AK1556" s="1315"/>
      <c r="AL1556" s="198"/>
      <c r="AM1556" s="272"/>
      <c r="AN1556" s="1307"/>
      <c r="AO1556" s="199"/>
      <c r="AP1556" s="272" t="s">
        <v>4</v>
      </c>
      <c r="AQ1556" s="1315"/>
      <c r="AR1556" s="198"/>
    </row>
    <row r="1557" spans="1:86" ht="19.5" customHeight="1" x14ac:dyDescent="0.25">
      <c r="A1557" s="2352"/>
      <c r="B1557" s="2352"/>
      <c r="C1557" s="2352"/>
      <c r="D1557" s="2352"/>
      <c r="E1557" s="2352"/>
      <c r="F1557" s="2352"/>
      <c r="G1557" s="2352"/>
      <c r="H1557" s="2352"/>
      <c r="I1557" s="2352"/>
      <c r="J1557" s="951" t="s">
        <v>6</v>
      </c>
      <c r="K1557" s="199"/>
      <c r="L1557" s="272" t="s">
        <v>2</v>
      </c>
      <c r="M1557" s="273"/>
      <c r="N1557" s="198"/>
      <c r="O1557" s="272"/>
      <c r="P1557" s="951" t="s">
        <v>6</v>
      </c>
      <c r="Q1557" s="199"/>
      <c r="R1557" s="272" t="s">
        <v>2</v>
      </c>
      <c r="S1557" s="273"/>
      <c r="T1557" s="198"/>
      <c r="U1557" s="272"/>
      <c r="V1557" s="951" t="s">
        <v>6</v>
      </c>
      <c r="W1557" s="199"/>
      <c r="X1557" s="272" t="s">
        <v>2</v>
      </c>
      <c r="Y1557" s="273"/>
      <c r="Z1557" s="198"/>
      <c r="AA1557" s="272"/>
      <c r="AB1557" s="951" t="s">
        <v>6</v>
      </c>
      <c r="AC1557" s="199"/>
      <c r="AD1557" s="272" t="s">
        <v>2</v>
      </c>
      <c r="AE1557" s="273"/>
      <c r="AF1557" s="198"/>
      <c r="AG1557" s="272"/>
      <c r="AH1557" s="951" t="s">
        <v>6</v>
      </c>
      <c r="AI1557" s="199"/>
      <c r="AJ1557" s="272" t="s">
        <v>2</v>
      </c>
      <c r="AK1557" s="273"/>
      <c r="AL1557" s="198"/>
      <c r="AM1557" s="272"/>
      <c r="AN1557" s="951" t="s">
        <v>6</v>
      </c>
      <c r="AO1557" s="199"/>
      <c r="AP1557" s="272" t="s">
        <v>2</v>
      </c>
      <c r="AQ1557" s="273"/>
      <c r="AR1557" s="198"/>
    </row>
    <row r="1558" spans="1:86" ht="33.4" customHeight="1" x14ac:dyDescent="0.25">
      <c r="A1558" s="2352"/>
      <c r="B1558" s="2352"/>
      <c r="C1558" s="2352"/>
      <c r="D1558" s="2352"/>
      <c r="E1558" s="2352"/>
      <c r="F1558" s="2352"/>
      <c r="G1558" s="2352"/>
      <c r="H1558" s="2352"/>
      <c r="I1558" s="2352"/>
      <c r="J1558" s="274" t="s">
        <v>7</v>
      </c>
      <c r="K1558" s="199"/>
      <c r="L1558" s="272" t="s">
        <v>8</v>
      </c>
      <c r="M1558" s="199"/>
      <c r="N1558" s="198"/>
      <c r="O1558" s="272"/>
      <c r="P1558" s="274" t="s">
        <v>7</v>
      </c>
      <c r="Q1558" s="199"/>
      <c r="R1558" s="272" t="s">
        <v>8</v>
      </c>
      <c r="S1558" s="199"/>
      <c r="T1558" s="198"/>
      <c r="U1558" s="272"/>
      <c r="V1558" s="274" t="s">
        <v>7</v>
      </c>
      <c r="W1558" s="199"/>
      <c r="X1558" s="272" t="s">
        <v>8</v>
      </c>
      <c r="Y1558" s="199"/>
      <c r="Z1558" s="198"/>
      <c r="AA1558" s="272"/>
      <c r="AB1558" s="274" t="s">
        <v>7</v>
      </c>
      <c r="AC1558" s="199"/>
      <c r="AD1558" s="272" t="s">
        <v>8</v>
      </c>
      <c r="AE1558" s="199"/>
      <c r="AF1558" s="198"/>
      <c r="AG1558" s="272"/>
      <c r="AH1558" s="274" t="s">
        <v>7</v>
      </c>
      <c r="AI1558" s="199"/>
      <c r="AJ1558" s="272" t="s">
        <v>8</v>
      </c>
      <c r="AK1558" s="199"/>
      <c r="AL1558" s="198"/>
      <c r="AM1558" s="272"/>
      <c r="AN1558" s="274" t="s">
        <v>7</v>
      </c>
      <c r="AO1558" s="199"/>
      <c r="AP1558" s="272" t="s">
        <v>8</v>
      </c>
      <c r="AQ1558" s="199"/>
      <c r="AR1558" s="198"/>
    </row>
    <row r="1559" spans="1:86" ht="33.4" customHeight="1" x14ac:dyDescent="0.25">
      <c r="A1559" s="2352"/>
      <c r="B1559" s="2352"/>
      <c r="C1559" s="2352"/>
      <c r="D1559" s="2352"/>
      <c r="E1559" s="2352"/>
      <c r="F1559" s="2352"/>
      <c r="G1559" s="2352"/>
      <c r="H1559" s="2352"/>
      <c r="I1559" s="2352"/>
      <c r="J1559" s="274" t="s">
        <v>35</v>
      </c>
      <c r="K1559" s="199"/>
      <c r="L1559" s="272" t="s">
        <v>8</v>
      </c>
      <c r="M1559" s="273"/>
      <c r="N1559" s="198"/>
      <c r="O1559" s="272"/>
      <c r="P1559" s="274" t="s">
        <v>35</v>
      </c>
      <c r="Q1559" s="199"/>
      <c r="R1559" s="272" t="s">
        <v>8</v>
      </c>
      <c r="S1559" s="273"/>
      <c r="T1559" s="198"/>
      <c r="U1559" s="272"/>
      <c r="V1559" s="274" t="s">
        <v>35</v>
      </c>
      <c r="W1559" s="199"/>
      <c r="X1559" s="272" t="s">
        <v>8</v>
      </c>
      <c r="Y1559" s="273"/>
      <c r="Z1559" s="198"/>
      <c r="AA1559" s="272"/>
      <c r="AB1559" s="274" t="s">
        <v>35</v>
      </c>
      <c r="AC1559" s="199"/>
      <c r="AD1559" s="272" t="s">
        <v>8</v>
      </c>
      <c r="AE1559" s="273"/>
      <c r="AF1559" s="198"/>
      <c r="AG1559" s="272"/>
      <c r="AH1559" s="274" t="s">
        <v>35</v>
      </c>
      <c r="AI1559" s="199"/>
      <c r="AJ1559" s="272" t="s">
        <v>8</v>
      </c>
      <c r="AK1559" s="273"/>
      <c r="AL1559" s="198"/>
      <c r="AM1559" s="272"/>
      <c r="AN1559" s="274" t="s">
        <v>35</v>
      </c>
      <c r="AO1559" s="199"/>
      <c r="AP1559" s="272" t="s">
        <v>8</v>
      </c>
      <c r="AQ1559" s="273"/>
      <c r="AR1559" s="198"/>
    </row>
    <row r="1560" spans="1:86" ht="33.4" customHeight="1" x14ac:dyDescent="0.25">
      <c r="A1560" s="2352"/>
      <c r="B1560" s="2352"/>
      <c r="C1560" s="2352"/>
      <c r="D1560" s="2352"/>
      <c r="E1560" s="2352"/>
      <c r="F1560" s="2352"/>
      <c r="G1560" s="2352"/>
      <c r="H1560" s="2352"/>
      <c r="I1560" s="2352"/>
      <c r="J1560" s="274" t="s">
        <v>1041</v>
      </c>
      <c r="K1560" s="199"/>
      <c r="L1560" s="272" t="s">
        <v>1044</v>
      </c>
      <c r="M1560" s="273"/>
      <c r="N1560" s="198"/>
      <c r="O1560" s="272"/>
      <c r="P1560" s="274" t="s">
        <v>1041</v>
      </c>
      <c r="Q1560" s="199"/>
      <c r="R1560" s="272" t="s">
        <v>1044</v>
      </c>
      <c r="S1560" s="273"/>
      <c r="T1560" s="198"/>
      <c r="U1560" s="272"/>
      <c r="V1560" s="274" t="s">
        <v>1041</v>
      </c>
      <c r="W1560" s="199"/>
      <c r="X1560" s="272" t="s">
        <v>1044</v>
      </c>
      <c r="Y1560" s="273"/>
      <c r="Z1560" s="198"/>
      <c r="AA1560" s="272"/>
      <c r="AB1560" s="274" t="s">
        <v>1041</v>
      </c>
      <c r="AC1560" s="199"/>
      <c r="AD1560" s="272" t="s">
        <v>1044</v>
      </c>
      <c r="AE1560" s="273"/>
      <c r="AF1560" s="198"/>
      <c r="AG1560" s="272"/>
      <c r="AH1560" s="274" t="s">
        <v>1041</v>
      </c>
      <c r="AI1560" s="199"/>
      <c r="AJ1560" s="272" t="s">
        <v>1044</v>
      </c>
      <c r="AK1560" s="273"/>
      <c r="AL1560" s="198"/>
      <c r="AM1560" s="272"/>
      <c r="AN1560" s="274" t="s">
        <v>1041</v>
      </c>
      <c r="AO1560" s="199"/>
      <c r="AP1560" s="272" t="s">
        <v>1044</v>
      </c>
      <c r="AQ1560" s="273"/>
      <c r="AR1560" s="198"/>
    </row>
    <row r="1561" spans="1:86" ht="33.4" customHeight="1" x14ac:dyDescent="0.25">
      <c r="A1561" s="2352"/>
      <c r="B1561" s="2352"/>
      <c r="C1561" s="2352"/>
      <c r="D1561" s="2352"/>
      <c r="E1561" s="2352"/>
      <c r="F1561" s="2352"/>
      <c r="G1561" s="2352"/>
      <c r="H1561" s="2352"/>
      <c r="I1561" s="2352"/>
      <c r="J1561" s="274" t="s">
        <v>11</v>
      </c>
      <c r="K1561" s="199"/>
      <c r="L1561" s="272" t="s">
        <v>4</v>
      </c>
      <c r="M1561" s="273"/>
      <c r="N1561" s="198"/>
      <c r="O1561" s="272"/>
      <c r="P1561" s="274" t="s">
        <v>11</v>
      </c>
      <c r="Q1561" s="199"/>
      <c r="R1561" s="272" t="s">
        <v>4</v>
      </c>
      <c r="S1561" s="273"/>
      <c r="T1561" s="198"/>
      <c r="U1561" s="272"/>
      <c r="V1561" s="274" t="s">
        <v>11</v>
      </c>
      <c r="W1561" s="199"/>
      <c r="X1561" s="272" t="s">
        <v>4</v>
      </c>
      <c r="Y1561" s="273"/>
      <c r="Z1561" s="198"/>
      <c r="AA1561" s="272"/>
      <c r="AB1561" s="274" t="s">
        <v>11</v>
      </c>
      <c r="AC1561" s="199"/>
      <c r="AD1561" s="272" t="s">
        <v>4</v>
      </c>
      <c r="AE1561" s="273"/>
      <c r="AF1561" s="198"/>
      <c r="AG1561" s="272"/>
      <c r="AH1561" s="274" t="s">
        <v>11</v>
      </c>
      <c r="AI1561" s="199"/>
      <c r="AJ1561" s="272" t="s">
        <v>4</v>
      </c>
      <c r="AK1561" s="273"/>
      <c r="AL1561" s="198"/>
      <c r="AM1561" s="272"/>
      <c r="AN1561" s="274" t="s">
        <v>11</v>
      </c>
      <c r="AO1561" s="199"/>
      <c r="AP1561" s="272" t="s">
        <v>4</v>
      </c>
      <c r="AQ1561" s="273"/>
      <c r="AR1561" s="198"/>
    </row>
    <row r="1562" spans="1:86" ht="33.4" customHeight="1" x14ac:dyDescent="0.25">
      <c r="A1562" s="2352"/>
      <c r="B1562" s="2352"/>
      <c r="C1562" s="2352"/>
      <c r="D1562" s="2352"/>
      <c r="E1562" s="2352"/>
      <c r="F1562" s="2352"/>
      <c r="G1562" s="2352"/>
      <c r="H1562" s="2352"/>
      <c r="I1562" s="2352"/>
      <c r="J1562" s="274" t="s">
        <v>1042</v>
      </c>
      <c r="K1562" s="199"/>
      <c r="L1562" s="272" t="s">
        <v>1044</v>
      </c>
      <c r="M1562" s="273"/>
      <c r="N1562" s="198"/>
      <c r="O1562" s="272"/>
      <c r="P1562" s="274" t="s">
        <v>1042</v>
      </c>
      <c r="Q1562" s="199"/>
      <c r="R1562" s="272" t="s">
        <v>1044</v>
      </c>
      <c r="S1562" s="273"/>
      <c r="T1562" s="198"/>
      <c r="U1562" s="272"/>
      <c r="V1562" s="274" t="s">
        <v>1042</v>
      </c>
      <c r="W1562" s="199"/>
      <c r="X1562" s="272" t="s">
        <v>1044</v>
      </c>
      <c r="Y1562" s="273"/>
      <c r="Z1562" s="198"/>
      <c r="AA1562" s="272"/>
      <c r="AB1562" s="274" t="s">
        <v>1042</v>
      </c>
      <c r="AC1562" s="199"/>
      <c r="AD1562" s="272" t="s">
        <v>1044</v>
      </c>
      <c r="AE1562" s="273"/>
      <c r="AF1562" s="198"/>
      <c r="AG1562" s="272"/>
      <c r="AH1562" s="274" t="s">
        <v>1042</v>
      </c>
      <c r="AI1562" s="199"/>
      <c r="AJ1562" s="272" t="s">
        <v>1044</v>
      </c>
      <c r="AK1562" s="273"/>
      <c r="AL1562" s="198"/>
      <c r="AM1562" s="272"/>
      <c r="AN1562" s="274" t="s">
        <v>1042</v>
      </c>
      <c r="AO1562" s="199"/>
      <c r="AP1562" s="272" t="s">
        <v>1044</v>
      </c>
      <c r="AQ1562" s="273"/>
      <c r="AR1562" s="198"/>
    </row>
    <row r="1563" spans="1:86" ht="33.4" customHeight="1" x14ac:dyDescent="0.25">
      <c r="A1563" s="2352"/>
      <c r="B1563" s="2352"/>
      <c r="C1563" s="2352"/>
      <c r="D1563" s="2352"/>
      <c r="E1563" s="2352"/>
      <c r="F1563" s="2352"/>
      <c r="G1563" s="2352"/>
      <c r="H1563" s="2352"/>
      <c r="I1563" s="2352"/>
      <c r="J1563" s="274" t="s">
        <v>37</v>
      </c>
      <c r="K1563" s="199"/>
      <c r="L1563" s="272" t="s">
        <v>1044</v>
      </c>
      <c r="M1563" s="273"/>
      <c r="N1563" s="198"/>
      <c r="O1563" s="272"/>
      <c r="P1563" s="274" t="s">
        <v>37</v>
      </c>
      <c r="Q1563" s="199"/>
      <c r="R1563" s="272" t="s">
        <v>1044</v>
      </c>
      <c r="S1563" s="273"/>
      <c r="T1563" s="198"/>
      <c r="U1563" s="272"/>
      <c r="V1563" s="274" t="s">
        <v>37</v>
      </c>
      <c r="W1563" s="199"/>
      <c r="X1563" s="272" t="s">
        <v>1044</v>
      </c>
      <c r="Y1563" s="273"/>
      <c r="Z1563" s="198"/>
      <c r="AA1563" s="272"/>
      <c r="AB1563" s="274" t="s">
        <v>37</v>
      </c>
      <c r="AC1563" s="199"/>
      <c r="AD1563" s="272" t="s">
        <v>1044</v>
      </c>
      <c r="AE1563" s="273"/>
      <c r="AF1563" s="198"/>
      <c r="AG1563" s="272"/>
      <c r="AH1563" s="274" t="s">
        <v>37</v>
      </c>
      <c r="AI1563" s="199"/>
      <c r="AJ1563" s="272" t="s">
        <v>1044</v>
      </c>
      <c r="AK1563" s="273"/>
      <c r="AL1563" s="198"/>
      <c r="AM1563" s="272"/>
      <c r="AN1563" s="274" t="s">
        <v>37</v>
      </c>
      <c r="AO1563" s="199"/>
      <c r="AP1563" s="272" t="s">
        <v>1044</v>
      </c>
      <c r="AQ1563" s="273"/>
      <c r="AR1563" s="198"/>
    </row>
    <row r="1564" spans="1:86" ht="33.4" customHeight="1" x14ac:dyDescent="0.25">
      <c r="A1564" s="2352"/>
      <c r="B1564" s="2352"/>
      <c r="C1564" s="2352"/>
      <c r="D1564" s="2352"/>
      <c r="E1564" s="2352"/>
      <c r="F1564" s="2352"/>
      <c r="G1564" s="2352"/>
      <c r="H1564" s="2352"/>
      <c r="I1564" s="2352"/>
      <c r="J1564" s="274" t="s">
        <v>671</v>
      </c>
      <c r="K1564" s="199"/>
      <c r="L1564" s="272" t="s">
        <v>4</v>
      </c>
      <c r="M1564" s="273"/>
      <c r="N1564" s="198"/>
      <c r="O1564" s="272"/>
      <c r="P1564" s="274" t="s">
        <v>671</v>
      </c>
      <c r="Q1564" s="199"/>
      <c r="R1564" s="272" t="s">
        <v>4</v>
      </c>
      <c r="S1564" s="273"/>
      <c r="T1564" s="198"/>
      <c r="U1564" s="272"/>
      <c r="V1564" s="274" t="s">
        <v>671</v>
      </c>
      <c r="W1564" s="199"/>
      <c r="X1564" s="272" t="s">
        <v>4</v>
      </c>
      <c r="Y1564" s="273"/>
      <c r="Z1564" s="198"/>
      <c r="AA1564" s="272"/>
      <c r="AB1564" s="274" t="s">
        <v>671</v>
      </c>
      <c r="AC1564" s="199"/>
      <c r="AD1564" s="272" t="s">
        <v>4</v>
      </c>
      <c r="AE1564" s="273"/>
      <c r="AF1564" s="198"/>
      <c r="AG1564" s="272"/>
      <c r="AH1564" s="274" t="s">
        <v>671</v>
      </c>
      <c r="AI1564" s="199"/>
      <c r="AJ1564" s="272" t="s">
        <v>4</v>
      </c>
      <c r="AK1564" s="273"/>
      <c r="AL1564" s="198"/>
      <c r="AM1564" s="272"/>
      <c r="AN1564" s="274" t="s">
        <v>671</v>
      </c>
      <c r="AO1564" s="199"/>
      <c r="AP1564" s="272" t="s">
        <v>4</v>
      </c>
      <c r="AQ1564" s="273"/>
      <c r="AR1564" s="198"/>
    </row>
    <row r="1565" spans="1:86" ht="33.4" customHeight="1" x14ac:dyDescent="0.25">
      <c r="A1565" s="2352"/>
      <c r="B1565" s="2352"/>
      <c r="C1565" s="2352"/>
      <c r="D1565" s="2352"/>
      <c r="E1565" s="2352"/>
      <c r="F1565" s="2352"/>
      <c r="G1565" s="2352"/>
      <c r="H1565" s="2352"/>
      <c r="I1565" s="2352"/>
      <c r="J1565" s="274" t="s">
        <v>672</v>
      </c>
      <c r="K1565" s="199"/>
      <c r="L1565" s="272" t="s">
        <v>4</v>
      </c>
      <c r="M1565" s="273"/>
      <c r="N1565" s="198"/>
      <c r="O1565" s="272"/>
      <c r="P1565" s="274" t="s">
        <v>672</v>
      </c>
      <c r="Q1565" s="199"/>
      <c r="R1565" s="272" t="s">
        <v>4</v>
      </c>
      <c r="S1565" s="273"/>
      <c r="T1565" s="198"/>
      <c r="U1565" s="272"/>
      <c r="V1565" s="274" t="s">
        <v>672</v>
      </c>
      <c r="W1565" s="199"/>
      <c r="X1565" s="272" t="s">
        <v>4</v>
      </c>
      <c r="Y1565" s="273"/>
      <c r="Z1565" s="198"/>
      <c r="AA1565" s="272"/>
      <c r="AB1565" s="274" t="s">
        <v>672</v>
      </c>
      <c r="AC1565" s="199"/>
      <c r="AD1565" s="272" t="s">
        <v>4</v>
      </c>
      <c r="AE1565" s="273"/>
      <c r="AF1565" s="198"/>
      <c r="AG1565" s="272"/>
      <c r="AH1565" s="274" t="s">
        <v>672</v>
      </c>
      <c r="AI1565" s="199"/>
      <c r="AJ1565" s="272" t="s">
        <v>4</v>
      </c>
      <c r="AK1565" s="273"/>
      <c r="AL1565" s="198"/>
      <c r="AM1565" s="272"/>
      <c r="AN1565" s="274" t="s">
        <v>672</v>
      </c>
      <c r="AO1565" s="199"/>
      <c r="AP1565" s="272" t="s">
        <v>4</v>
      </c>
      <c r="AQ1565" s="273"/>
      <c r="AR1565" s="198"/>
    </row>
    <row r="1566" spans="1:86" ht="33.4" customHeight="1" x14ac:dyDescent="0.25">
      <c r="A1566" s="2352"/>
      <c r="B1566" s="2352"/>
      <c r="C1566" s="2352"/>
      <c r="D1566" s="2352"/>
      <c r="E1566" s="2352"/>
      <c r="F1566" s="2352"/>
      <c r="G1566" s="2352"/>
      <c r="H1566" s="2352"/>
      <c r="I1566" s="2352"/>
      <c r="J1566" s="274" t="s">
        <v>673</v>
      </c>
      <c r="K1566" s="199"/>
      <c r="L1566" s="272" t="s">
        <v>4</v>
      </c>
      <c r="M1566" s="273"/>
      <c r="N1566" s="198"/>
      <c r="O1566" s="272"/>
      <c r="P1566" s="274" t="s">
        <v>673</v>
      </c>
      <c r="Q1566" s="199"/>
      <c r="R1566" s="272" t="s">
        <v>4</v>
      </c>
      <c r="S1566" s="273"/>
      <c r="T1566" s="198"/>
      <c r="U1566" s="272"/>
      <c r="V1566" s="274" t="s">
        <v>673</v>
      </c>
      <c r="W1566" s="199"/>
      <c r="X1566" s="272" t="s">
        <v>4</v>
      </c>
      <c r="Y1566" s="273"/>
      <c r="Z1566" s="198"/>
      <c r="AA1566" s="272"/>
      <c r="AB1566" s="274" t="s">
        <v>673</v>
      </c>
      <c r="AC1566" s="199"/>
      <c r="AD1566" s="272" t="s">
        <v>4</v>
      </c>
      <c r="AE1566" s="273"/>
      <c r="AF1566" s="198"/>
      <c r="AG1566" s="272"/>
      <c r="AH1566" s="274" t="s">
        <v>673</v>
      </c>
      <c r="AI1566" s="199"/>
      <c r="AJ1566" s="272" t="s">
        <v>4</v>
      </c>
      <c r="AK1566" s="273"/>
      <c r="AL1566" s="198"/>
      <c r="AM1566" s="272"/>
      <c r="AN1566" s="274" t="s">
        <v>673</v>
      </c>
      <c r="AO1566" s="199"/>
      <c r="AP1566" s="272" t="s">
        <v>4</v>
      </c>
      <c r="AQ1566" s="273"/>
      <c r="AR1566" s="198"/>
    </row>
    <row r="1567" spans="1:86" ht="33.4" customHeight="1" x14ac:dyDescent="0.25">
      <c r="A1567" s="2352"/>
      <c r="B1567" s="2352"/>
      <c r="C1567" s="2352"/>
      <c r="D1567" s="2352"/>
      <c r="E1567" s="2352"/>
      <c r="F1567" s="2352"/>
      <c r="G1567" s="2352"/>
      <c r="H1567" s="2352"/>
      <c r="I1567" s="2352"/>
      <c r="J1567" s="274" t="s">
        <v>674</v>
      </c>
      <c r="K1567" s="199"/>
      <c r="L1567" s="272" t="s">
        <v>8</v>
      </c>
      <c r="M1567" s="273"/>
      <c r="N1567" s="198"/>
      <c r="O1567" s="272"/>
      <c r="P1567" s="274" t="s">
        <v>674</v>
      </c>
      <c r="Q1567" s="199"/>
      <c r="R1567" s="272" t="s">
        <v>8</v>
      </c>
      <c r="S1567" s="273"/>
      <c r="T1567" s="198"/>
      <c r="U1567" s="272"/>
      <c r="V1567" s="274" t="s">
        <v>674</v>
      </c>
      <c r="W1567" s="199"/>
      <c r="X1567" s="272" t="s">
        <v>8</v>
      </c>
      <c r="Y1567" s="273"/>
      <c r="Z1567" s="198"/>
      <c r="AA1567" s="272"/>
      <c r="AB1567" s="274" t="s">
        <v>674</v>
      </c>
      <c r="AC1567" s="199"/>
      <c r="AD1567" s="272" t="s">
        <v>8</v>
      </c>
      <c r="AE1567" s="273"/>
      <c r="AF1567" s="198"/>
      <c r="AG1567" s="272"/>
      <c r="AH1567" s="274" t="s">
        <v>674</v>
      </c>
      <c r="AI1567" s="199"/>
      <c r="AJ1567" s="272" t="s">
        <v>8</v>
      </c>
      <c r="AK1567" s="273"/>
      <c r="AL1567" s="198"/>
      <c r="AM1567" s="272"/>
      <c r="AN1567" s="274" t="s">
        <v>674</v>
      </c>
      <c r="AO1567" s="199"/>
      <c r="AP1567" s="272" t="s">
        <v>8</v>
      </c>
      <c r="AQ1567" s="273"/>
      <c r="AR1567" s="198"/>
    </row>
    <row r="1568" spans="1:86" ht="33.4" customHeight="1" x14ac:dyDescent="0.25">
      <c r="A1568" s="2352"/>
      <c r="B1568" s="2352"/>
      <c r="C1568" s="2352"/>
      <c r="D1568" s="2352"/>
      <c r="E1568" s="2352"/>
      <c r="F1568" s="2352"/>
      <c r="G1568" s="2352"/>
      <c r="H1568" s="2352"/>
      <c r="I1568" s="2352"/>
      <c r="J1568" s="274" t="s">
        <v>1043</v>
      </c>
      <c r="K1568" s="199"/>
      <c r="L1568" s="272" t="s">
        <v>1044</v>
      </c>
      <c r="M1568" s="273"/>
      <c r="N1568" s="198"/>
      <c r="O1568" s="272"/>
      <c r="P1568" s="274" t="s">
        <v>1043</v>
      </c>
      <c r="Q1568" s="199"/>
      <c r="R1568" s="272" t="s">
        <v>1044</v>
      </c>
      <c r="S1568" s="273"/>
      <c r="T1568" s="198"/>
      <c r="U1568" s="272"/>
      <c r="V1568" s="274" t="s">
        <v>1043</v>
      </c>
      <c r="W1568" s="199"/>
      <c r="X1568" s="272" t="s">
        <v>1044</v>
      </c>
      <c r="Y1568" s="273"/>
      <c r="Z1568" s="198"/>
      <c r="AA1568" s="272"/>
      <c r="AB1568" s="274" t="s">
        <v>1043</v>
      </c>
      <c r="AC1568" s="199"/>
      <c r="AD1568" s="272" t="s">
        <v>1044</v>
      </c>
      <c r="AE1568" s="273"/>
      <c r="AF1568" s="198"/>
      <c r="AG1568" s="272"/>
      <c r="AH1568" s="274" t="s">
        <v>1043</v>
      </c>
      <c r="AI1568" s="199"/>
      <c r="AJ1568" s="272" t="s">
        <v>1044</v>
      </c>
      <c r="AK1568" s="273"/>
      <c r="AL1568" s="198"/>
      <c r="AM1568" s="272"/>
      <c r="AN1568" s="274" t="s">
        <v>1043</v>
      </c>
      <c r="AO1568" s="199"/>
      <c r="AP1568" s="272" t="s">
        <v>1044</v>
      </c>
      <c r="AQ1568" s="273"/>
      <c r="AR1568" s="198"/>
    </row>
    <row r="1569" spans="1:86" ht="90.6" customHeight="1" x14ac:dyDescent="0.25">
      <c r="A1569" s="2352"/>
      <c r="B1569" s="2352"/>
      <c r="C1569" s="2352"/>
      <c r="D1569" s="2352"/>
      <c r="E1569" s="2352"/>
      <c r="F1569" s="2352"/>
      <c r="G1569" s="2352"/>
      <c r="H1569" s="2352"/>
      <c r="I1569" s="2352"/>
      <c r="J1569" s="274" t="s">
        <v>1046</v>
      </c>
      <c r="K1569" s="199"/>
      <c r="L1569" s="272" t="s">
        <v>1045</v>
      </c>
      <c r="M1569" s="273"/>
      <c r="N1569" s="198"/>
      <c r="O1569" s="272"/>
      <c r="P1569" s="274" t="s">
        <v>1046</v>
      </c>
      <c r="Q1569" s="199"/>
      <c r="R1569" s="272" t="s">
        <v>1045</v>
      </c>
      <c r="S1569" s="273"/>
      <c r="T1569" s="198"/>
      <c r="U1569" s="272"/>
      <c r="V1569" s="274" t="s">
        <v>1046</v>
      </c>
      <c r="W1569" s="199"/>
      <c r="X1569" s="272" t="s">
        <v>1045</v>
      </c>
      <c r="Y1569" s="273"/>
      <c r="Z1569" s="198"/>
      <c r="AA1569" s="272"/>
      <c r="AB1569" s="274" t="s">
        <v>1046</v>
      </c>
      <c r="AC1569" s="199"/>
      <c r="AD1569" s="272" t="s">
        <v>1045</v>
      </c>
      <c r="AE1569" s="273"/>
      <c r="AF1569" s="198"/>
      <c r="AG1569" s="272"/>
      <c r="AH1569" s="274" t="s">
        <v>1046</v>
      </c>
      <c r="AI1569" s="199"/>
      <c r="AJ1569" s="272" t="s">
        <v>1045</v>
      </c>
      <c r="AK1569" s="273"/>
      <c r="AL1569" s="198"/>
      <c r="AM1569" s="272"/>
      <c r="AN1569" s="274" t="s">
        <v>1046</v>
      </c>
      <c r="AO1569" s="199"/>
      <c r="AP1569" s="272" t="s">
        <v>1045</v>
      </c>
      <c r="AQ1569" s="273"/>
      <c r="AR1569" s="198"/>
    </row>
    <row r="1570" spans="1:86" s="3" customFormat="1" ht="21" customHeight="1" x14ac:dyDescent="0.25">
      <c r="A1570" s="2336" t="s">
        <v>1050</v>
      </c>
      <c r="B1570" s="1327"/>
      <c r="C1570" s="1327"/>
      <c r="D1570" s="1327"/>
      <c r="E1570" s="1327"/>
      <c r="F1570" s="1327"/>
      <c r="G1570" s="1327"/>
      <c r="H1570" s="1327"/>
      <c r="I1570" s="1327"/>
      <c r="J1570" s="1327"/>
      <c r="K1570" s="1327"/>
      <c r="L1570" s="1327"/>
      <c r="M1570" s="1327"/>
      <c r="N1570" s="1327"/>
      <c r="O1570" s="1327"/>
      <c r="P1570" s="1327"/>
      <c r="Q1570" s="1327"/>
      <c r="R1570" s="1327"/>
      <c r="S1570" s="1327"/>
      <c r="T1570" s="1327"/>
      <c r="U1570" s="1327"/>
      <c r="V1570" s="1328"/>
      <c r="W1570" s="278"/>
      <c r="X1570" s="278"/>
      <c r="Y1570" s="278"/>
      <c r="Z1570" s="4"/>
      <c r="AA1570" s="279"/>
      <c r="AB1570" s="280"/>
      <c r="AC1570" s="278"/>
      <c r="AD1570" s="278"/>
      <c r="AE1570" s="278"/>
      <c r="AF1570" s="4"/>
      <c r="AG1570" s="279"/>
      <c r="AH1570" s="280"/>
      <c r="AI1570" s="278"/>
      <c r="AJ1570" s="278"/>
      <c r="AK1570" s="278"/>
      <c r="AL1570" s="4"/>
      <c r="AM1570" s="279"/>
      <c r="AN1570" s="280"/>
      <c r="AO1570" s="278"/>
      <c r="AP1570" s="278"/>
      <c r="AQ1570" s="278"/>
      <c r="AR1570" s="278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  <c r="CG1570" s="4"/>
      <c r="CH1570" s="4"/>
    </row>
    <row r="1571" spans="1:86" s="142" customFormat="1" ht="21" customHeight="1" x14ac:dyDescent="0.25">
      <c r="A1571" s="141"/>
      <c r="B1571" s="141"/>
      <c r="C1571" s="141"/>
      <c r="D1571" s="141"/>
      <c r="E1571" s="141"/>
      <c r="F1571" s="141"/>
      <c r="G1571" s="141"/>
      <c r="H1571" s="141"/>
      <c r="I1571" s="141"/>
      <c r="J1571" s="141"/>
      <c r="K1571" s="141"/>
      <c r="L1571" s="141"/>
      <c r="M1571" s="141"/>
      <c r="N1571" s="141"/>
      <c r="O1571" s="141"/>
      <c r="P1571" s="141"/>
      <c r="Q1571" s="141"/>
      <c r="R1571" s="141"/>
      <c r="S1571" s="141"/>
      <c r="T1571" s="141"/>
      <c r="U1571" s="141"/>
      <c r="V1571" s="141"/>
      <c r="W1571" s="14"/>
      <c r="X1571" s="14"/>
      <c r="Y1571" s="14"/>
      <c r="AA1571" s="14"/>
      <c r="AB1571" s="281"/>
      <c r="AC1571" s="14"/>
      <c r="AD1571" s="14"/>
      <c r="AE1571" s="14"/>
      <c r="AG1571" s="14"/>
      <c r="AH1571" s="281"/>
      <c r="AI1571" s="14"/>
      <c r="AJ1571" s="14"/>
      <c r="AK1571" s="14"/>
      <c r="AM1571" s="14"/>
      <c r="AN1571" s="281"/>
      <c r="AO1571" s="14"/>
      <c r="AP1571" s="14"/>
      <c r="AQ1571" s="14"/>
      <c r="AR1571" s="14"/>
    </row>
    <row r="1572" spans="1:86" s="144" customFormat="1" ht="31.5" customHeight="1" x14ac:dyDescent="0.25">
      <c r="A1572" s="956"/>
      <c r="B1572" s="2228" t="s">
        <v>990</v>
      </c>
      <c r="C1572" s="2229"/>
      <c r="D1572" s="2229"/>
      <c r="E1572" s="2229"/>
      <c r="F1572" s="2229"/>
      <c r="G1572" s="2229"/>
      <c r="H1572" s="2229"/>
      <c r="I1572" s="2229"/>
      <c r="J1572" s="2230"/>
      <c r="K1572" s="146"/>
      <c r="L1572" s="147"/>
      <c r="M1572" s="145"/>
      <c r="N1572" s="956"/>
      <c r="O1572" s="956"/>
      <c r="P1572" s="956"/>
      <c r="Q1572" s="956"/>
      <c r="R1572" s="956"/>
      <c r="S1572" s="956"/>
      <c r="T1572" s="956"/>
      <c r="U1572" s="956"/>
      <c r="V1572" s="956"/>
      <c r="W1572" s="962"/>
      <c r="X1572" s="962"/>
      <c r="Y1572" s="962"/>
      <c r="Z1572" s="143"/>
      <c r="AA1572" s="962"/>
      <c r="AB1572" s="282"/>
      <c r="AC1572" s="962"/>
      <c r="AD1572" s="962"/>
      <c r="AE1572" s="962"/>
      <c r="AF1572" s="143"/>
      <c r="AG1572" s="962"/>
      <c r="AH1572" s="282"/>
      <c r="AI1572" s="962"/>
      <c r="AJ1572" s="962"/>
      <c r="AK1572" s="962"/>
      <c r="AL1572" s="143"/>
      <c r="AM1572" s="962"/>
      <c r="AN1572" s="282"/>
      <c r="AO1572" s="962"/>
      <c r="AP1572" s="962"/>
      <c r="AQ1572" s="962"/>
      <c r="AR1572" s="962"/>
    </row>
    <row r="1573" spans="1:86" s="144" customFormat="1" ht="28.9" customHeight="1" x14ac:dyDescent="0.25">
      <c r="A1573" s="141"/>
      <c r="B1573" s="769" t="s">
        <v>1422</v>
      </c>
      <c r="C1573" s="770"/>
      <c r="D1573" s="770"/>
      <c r="E1573" s="770"/>
      <c r="F1573" s="770"/>
      <c r="G1573" s="770"/>
      <c r="H1573" s="770"/>
      <c r="I1573" s="770"/>
      <c r="J1573" s="770"/>
      <c r="K1573" s="81"/>
      <c r="L1573" s="771"/>
      <c r="M1573" s="772"/>
      <c r="N1573" s="141"/>
      <c r="O1573" s="141"/>
      <c r="P1573" s="141"/>
      <c r="Q1573" s="141"/>
      <c r="R1573" s="141"/>
      <c r="S1573" s="141"/>
      <c r="T1573" s="141"/>
      <c r="U1573" s="141"/>
      <c r="V1573" s="141"/>
      <c r="W1573" s="765"/>
      <c r="X1573" s="766"/>
      <c r="Y1573" s="767"/>
      <c r="Z1573" s="142"/>
      <c r="AA1573" s="14"/>
      <c r="AB1573" s="281"/>
      <c r="AC1573" s="463">
        <f>AC1576+AC1578+AC1580+AC1582+AC1574</f>
        <v>2.9540000000000002</v>
      </c>
      <c r="AD1573" s="14"/>
      <c r="AE1573" s="774">
        <f>AE1576+AE1578+AE1580+AE1582+AE1574</f>
        <v>68822.440400000007</v>
      </c>
      <c r="AF1573" s="142"/>
      <c r="AG1573" s="14"/>
      <c r="AH1573" s="281"/>
      <c r="AI1573" s="463">
        <f>AI1584+AI1586</f>
        <v>5.7859999999999996</v>
      </c>
      <c r="AJ1573" s="14"/>
      <c r="AK1573" s="463">
        <f>AK1584+AK1586</f>
        <v>190369</v>
      </c>
      <c r="AL1573" s="143"/>
      <c r="AM1573" s="962"/>
      <c r="AN1573" s="282"/>
      <c r="AO1573" s="962"/>
      <c r="AP1573" s="962"/>
      <c r="AQ1573" s="962"/>
      <c r="AR1573" s="628"/>
    </row>
    <row r="1574" spans="1:86" s="116" customFormat="1" ht="37.35" customHeight="1" x14ac:dyDescent="0.2">
      <c r="A1574" s="1821">
        <v>1</v>
      </c>
      <c r="B1574" s="1374" t="s">
        <v>364</v>
      </c>
      <c r="C1574" s="1389" t="s">
        <v>220</v>
      </c>
      <c r="D1574" s="1374">
        <v>0.754</v>
      </c>
      <c r="E1574" s="1470">
        <v>3791</v>
      </c>
      <c r="F1574" s="1374">
        <v>0.754</v>
      </c>
      <c r="G1574" s="1558">
        <v>3791</v>
      </c>
      <c r="H1574" s="906"/>
      <c r="I1574" s="906"/>
      <c r="J1574" s="906"/>
      <c r="K1574" s="906"/>
      <c r="L1574" s="906"/>
      <c r="M1574" s="906"/>
      <c r="N1574" s="906"/>
      <c r="O1574" s="906"/>
      <c r="P1574" s="906"/>
      <c r="Q1574" s="906"/>
      <c r="R1574" s="906"/>
      <c r="S1574" s="906"/>
      <c r="T1574" s="906"/>
      <c r="U1574" s="906"/>
      <c r="V1574" s="906"/>
      <c r="W1574" s="906"/>
      <c r="X1574" s="906"/>
      <c r="Y1574" s="901"/>
      <c r="Z1574" s="1374" t="s">
        <v>441</v>
      </c>
      <c r="AA1574" s="1374" t="s">
        <v>1317</v>
      </c>
      <c r="AB1574" s="1374" t="s">
        <v>5</v>
      </c>
      <c r="AC1574" s="906">
        <v>0.754</v>
      </c>
      <c r="AD1574" s="906" t="s">
        <v>2</v>
      </c>
      <c r="AE1574" s="1374">
        <v>17570.685600000001</v>
      </c>
      <c r="AF1574" s="123"/>
      <c r="AG1574" s="123"/>
      <c r="AH1574" s="123"/>
      <c r="AI1574" s="123"/>
      <c r="AJ1574" s="123"/>
      <c r="AK1574" s="123"/>
      <c r="AL1574" s="123"/>
      <c r="AM1574" s="123"/>
      <c r="AN1574" s="123"/>
      <c r="AO1574" s="123"/>
      <c r="AP1574" s="123"/>
      <c r="AQ1574" s="123"/>
      <c r="AR1574" s="1233"/>
    </row>
    <row r="1575" spans="1:86" s="116" customFormat="1" ht="33.4" customHeight="1" x14ac:dyDescent="0.2">
      <c r="A1575" s="1822"/>
      <c r="B1575" s="1375"/>
      <c r="C1575" s="1390"/>
      <c r="D1575" s="1375"/>
      <c r="E1575" s="1471"/>
      <c r="F1575" s="1375"/>
      <c r="G1575" s="1271"/>
      <c r="H1575" s="906"/>
      <c r="I1575" s="906"/>
      <c r="J1575" s="906"/>
      <c r="K1575" s="906"/>
      <c r="L1575" s="906"/>
      <c r="M1575" s="906"/>
      <c r="N1575" s="906"/>
      <c r="O1575" s="906"/>
      <c r="P1575" s="906"/>
      <c r="Q1575" s="906"/>
      <c r="R1575" s="906"/>
      <c r="S1575" s="906"/>
      <c r="T1575" s="906"/>
      <c r="U1575" s="906"/>
      <c r="V1575" s="906"/>
      <c r="W1575" s="892"/>
      <c r="X1575" s="906"/>
      <c r="Y1575" s="901"/>
      <c r="Z1575" s="1375"/>
      <c r="AA1575" s="1375"/>
      <c r="AB1575" s="1375"/>
      <c r="AC1575" s="892">
        <v>4665</v>
      </c>
      <c r="AD1575" s="906" t="s">
        <v>4</v>
      </c>
      <c r="AE1575" s="1375"/>
      <c r="AF1575" s="123"/>
      <c r="AG1575" s="123"/>
      <c r="AH1575" s="123"/>
      <c r="AI1575" s="123"/>
      <c r="AJ1575" s="123"/>
      <c r="AK1575" s="123"/>
      <c r="AL1575" s="123"/>
      <c r="AM1575" s="123"/>
      <c r="AN1575" s="123"/>
      <c r="AO1575" s="123"/>
      <c r="AP1575" s="123"/>
      <c r="AQ1575" s="123"/>
      <c r="AR1575" s="1233"/>
    </row>
    <row r="1576" spans="1:86" s="144" customFormat="1" ht="28.9" customHeight="1" x14ac:dyDescent="0.25">
      <c r="A1576" s="1381">
        <v>2</v>
      </c>
      <c r="B1576" s="1383">
        <v>2240541</v>
      </c>
      <c r="C1576" s="2357" t="s">
        <v>1523</v>
      </c>
      <c r="D1576" s="1350">
        <v>1.2250000000000001</v>
      </c>
      <c r="E1576" s="1387">
        <v>9788</v>
      </c>
      <c r="F1576" s="1350">
        <v>1.2250000000000001</v>
      </c>
      <c r="G1576" s="1387">
        <v>9788</v>
      </c>
      <c r="H1576" s="770"/>
      <c r="I1576" s="770"/>
      <c r="J1576" s="770"/>
      <c r="K1576" s="81"/>
      <c r="L1576" s="771"/>
      <c r="M1576" s="772"/>
      <c r="N1576" s="141"/>
      <c r="O1576" s="141"/>
      <c r="P1576" s="141"/>
      <c r="Q1576" s="141"/>
      <c r="R1576" s="141"/>
      <c r="S1576" s="141"/>
      <c r="T1576" s="141"/>
      <c r="U1576" s="141"/>
      <c r="V1576" s="141"/>
      <c r="W1576" s="765"/>
      <c r="X1576" s="766"/>
      <c r="Y1576" s="767"/>
      <c r="Z1576" s="2359"/>
      <c r="AA1576" s="1294"/>
      <c r="AB1576" s="1374" t="s">
        <v>5</v>
      </c>
      <c r="AC1576" s="906">
        <v>1.2250000000000001</v>
      </c>
      <c r="AD1576" s="1120" t="s">
        <v>2</v>
      </c>
      <c r="AE1576" s="1231">
        <v>21523.203600000001</v>
      </c>
      <c r="AF1576" s="142"/>
      <c r="AG1576" s="14"/>
      <c r="AH1576" s="281"/>
      <c r="AI1576" s="463"/>
      <c r="AJ1576" s="14"/>
      <c r="AK1576" s="463"/>
      <c r="AL1576" s="143"/>
      <c r="AM1576" s="962"/>
      <c r="AN1576" s="282"/>
      <c r="AO1576" s="962"/>
      <c r="AP1576" s="962"/>
      <c r="AQ1576" s="962"/>
      <c r="AR1576" s="768"/>
    </row>
    <row r="1577" spans="1:86" s="144" customFormat="1" ht="28.9" customHeight="1" x14ac:dyDescent="0.25">
      <c r="A1577" s="1382"/>
      <c r="B1577" s="1384"/>
      <c r="C1577" s="2358"/>
      <c r="D1577" s="1297"/>
      <c r="E1577" s="1388"/>
      <c r="F1577" s="1297"/>
      <c r="G1577" s="1388"/>
      <c r="H1577" s="770"/>
      <c r="I1577" s="770"/>
      <c r="J1577" s="770"/>
      <c r="K1577" s="81"/>
      <c r="L1577" s="771"/>
      <c r="M1577" s="772"/>
      <c r="N1577" s="141"/>
      <c r="O1577" s="141"/>
      <c r="P1577" s="141"/>
      <c r="Q1577" s="141"/>
      <c r="R1577" s="141"/>
      <c r="S1577" s="141"/>
      <c r="T1577" s="141"/>
      <c r="U1577" s="141"/>
      <c r="V1577" s="141"/>
      <c r="W1577" s="765"/>
      <c r="X1577" s="766"/>
      <c r="Y1577" s="767"/>
      <c r="Z1577" s="2360"/>
      <c r="AA1577" s="1295"/>
      <c r="AB1577" s="1375"/>
      <c r="AC1577" s="901">
        <v>9788</v>
      </c>
      <c r="AD1577" s="1120" t="s">
        <v>3</v>
      </c>
      <c r="AE1577" s="1232"/>
      <c r="AF1577" s="142"/>
      <c r="AG1577" s="14"/>
      <c r="AH1577" s="281"/>
      <c r="AI1577" s="463"/>
      <c r="AJ1577" s="14"/>
      <c r="AK1577" s="463"/>
      <c r="AL1577" s="143"/>
      <c r="AM1577" s="962"/>
      <c r="AN1577" s="282"/>
      <c r="AO1577" s="962"/>
      <c r="AP1577" s="962"/>
      <c r="AQ1577" s="962"/>
      <c r="AR1577" s="768"/>
    </row>
    <row r="1578" spans="1:86" s="144" customFormat="1" ht="28.9" customHeight="1" x14ac:dyDescent="0.25">
      <c r="A1578" s="1381">
        <f>A1576+1</f>
        <v>3</v>
      </c>
      <c r="B1578" s="1383">
        <v>2246369</v>
      </c>
      <c r="C1578" s="2357" t="s">
        <v>1524</v>
      </c>
      <c r="D1578" s="1350">
        <v>0.152</v>
      </c>
      <c r="E1578" s="1350">
        <v>2711</v>
      </c>
      <c r="F1578" s="1350">
        <v>0.152</v>
      </c>
      <c r="G1578" s="1350">
        <v>2711</v>
      </c>
      <c r="H1578" s="770"/>
      <c r="I1578" s="770"/>
      <c r="J1578" s="770"/>
      <c r="K1578" s="81"/>
      <c r="L1578" s="771"/>
      <c r="M1578" s="772"/>
      <c r="N1578" s="141"/>
      <c r="O1578" s="141"/>
      <c r="P1578" s="141"/>
      <c r="Q1578" s="141"/>
      <c r="R1578" s="141"/>
      <c r="S1578" s="141"/>
      <c r="T1578" s="141"/>
      <c r="U1578" s="141"/>
      <c r="V1578" s="141"/>
      <c r="W1578" s="765"/>
      <c r="X1578" s="766"/>
      <c r="Y1578" s="767"/>
      <c r="Z1578" s="2359"/>
      <c r="AA1578" s="1294"/>
      <c r="AB1578" s="1374" t="s">
        <v>5</v>
      </c>
      <c r="AC1578" s="906">
        <v>0.152</v>
      </c>
      <c r="AD1578" s="1120" t="s">
        <v>2</v>
      </c>
      <c r="AE1578" s="1231">
        <v>6676.8864000000003</v>
      </c>
      <c r="AF1578" s="773"/>
      <c r="AG1578" s="961"/>
      <c r="AH1578" s="484"/>
      <c r="AI1578" s="463"/>
      <c r="AJ1578" s="14"/>
      <c r="AK1578" s="423"/>
      <c r="AL1578" s="143"/>
      <c r="AM1578" s="962"/>
      <c r="AN1578" s="282"/>
      <c r="AO1578" s="962"/>
      <c r="AP1578" s="962"/>
      <c r="AQ1578" s="962"/>
      <c r="AR1578" s="768"/>
    </row>
    <row r="1579" spans="1:86" s="144" customFormat="1" ht="28.9" customHeight="1" x14ac:dyDescent="0.25">
      <c r="A1579" s="1382"/>
      <c r="B1579" s="1384"/>
      <c r="C1579" s="2358"/>
      <c r="D1579" s="1297"/>
      <c r="E1579" s="1297"/>
      <c r="F1579" s="1297"/>
      <c r="G1579" s="1297"/>
      <c r="H1579" s="770"/>
      <c r="I1579" s="770"/>
      <c r="J1579" s="770"/>
      <c r="K1579" s="81"/>
      <c r="L1579" s="771"/>
      <c r="M1579" s="772"/>
      <c r="N1579" s="141"/>
      <c r="O1579" s="141"/>
      <c r="P1579" s="141"/>
      <c r="Q1579" s="141"/>
      <c r="R1579" s="141"/>
      <c r="S1579" s="141"/>
      <c r="T1579" s="141"/>
      <c r="U1579" s="141"/>
      <c r="V1579" s="141"/>
      <c r="W1579" s="765"/>
      <c r="X1579" s="766"/>
      <c r="Y1579" s="767"/>
      <c r="Z1579" s="2360"/>
      <c r="AA1579" s="1295"/>
      <c r="AB1579" s="1375"/>
      <c r="AC1579" s="901">
        <v>2711</v>
      </c>
      <c r="AD1579" s="1120" t="s">
        <v>3</v>
      </c>
      <c r="AE1579" s="1232"/>
      <c r="AF1579" s="773"/>
      <c r="AG1579" s="961"/>
      <c r="AH1579" s="484"/>
      <c r="AI1579" s="463"/>
      <c r="AJ1579" s="14"/>
      <c r="AK1579" s="423"/>
      <c r="AL1579" s="143"/>
      <c r="AM1579" s="962"/>
      <c r="AN1579" s="282"/>
      <c r="AO1579" s="962"/>
      <c r="AP1579" s="962"/>
      <c r="AQ1579" s="962"/>
      <c r="AR1579" s="768"/>
    </row>
    <row r="1580" spans="1:86" s="144" customFormat="1" ht="28.9" customHeight="1" x14ac:dyDescent="0.25">
      <c r="A1580" s="1381">
        <v>4</v>
      </c>
      <c r="B1580" s="1383">
        <v>2242646</v>
      </c>
      <c r="C1580" s="2357" t="s">
        <v>210</v>
      </c>
      <c r="D1580" s="1350">
        <v>0.32300000000000001</v>
      </c>
      <c r="E1580" s="1387">
        <v>1758.5</v>
      </c>
      <c r="F1580" s="1350">
        <v>0.32300000000000001</v>
      </c>
      <c r="G1580" s="1387">
        <v>1758.5</v>
      </c>
      <c r="H1580" s="770"/>
      <c r="I1580" s="770"/>
      <c r="J1580" s="770"/>
      <c r="K1580" s="81"/>
      <c r="L1580" s="771"/>
      <c r="M1580" s="772"/>
      <c r="N1580" s="141"/>
      <c r="O1580" s="141"/>
      <c r="P1580" s="141"/>
      <c r="Q1580" s="141"/>
      <c r="R1580" s="141"/>
      <c r="S1580" s="141"/>
      <c r="T1580" s="141"/>
      <c r="U1580" s="141"/>
      <c r="V1580" s="141"/>
      <c r="W1580" s="765"/>
      <c r="X1580" s="766"/>
      <c r="Y1580" s="767"/>
      <c r="Z1580" s="2359"/>
      <c r="AA1580" s="1294"/>
      <c r="AB1580" s="1374" t="s">
        <v>5</v>
      </c>
      <c r="AC1580" s="906">
        <v>0.32300000000000001</v>
      </c>
      <c r="AD1580" s="1120" t="s">
        <v>2</v>
      </c>
      <c r="AE1580" s="1231">
        <v>15051.6648</v>
      </c>
      <c r="AF1580" s="773"/>
      <c r="AG1580" s="961"/>
      <c r="AH1580" s="484"/>
      <c r="AI1580" s="463"/>
      <c r="AJ1580" s="14"/>
      <c r="AK1580" s="423"/>
      <c r="AL1580" s="143"/>
      <c r="AM1580" s="962"/>
      <c r="AN1580" s="282"/>
      <c r="AO1580" s="962"/>
      <c r="AP1580" s="962"/>
      <c r="AQ1580" s="962"/>
      <c r="AR1580" s="768"/>
    </row>
    <row r="1581" spans="1:86" s="144" customFormat="1" ht="28.9" customHeight="1" x14ac:dyDescent="0.25">
      <c r="A1581" s="1382"/>
      <c r="B1581" s="1384"/>
      <c r="C1581" s="2358"/>
      <c r="D1581" s="1297"/>
      <c r="E1581" s="1388"/>
      <c r="F1581" s="1297"/>
      <c r="G1581" s="1388"/>
      <c r="H1581" s="770"/>
      <c r="I1581" s="770"/>
      <c r="J1581" s="770"/>
      <c r="K1581" s="81"/>
      <c r="L1581" s="771"/>
      <c r="M1581" s="772"/>
      <c r="N1581" s="141"/>
      <c r="O1581" s="141"/>
      <c r="P1581" s="141"/>
      <c r="Q1581" s="141"/>
      <c r="R1581" s="141"/>
      <c r="S1581" s="141"/>
      <c r="T1581" s="141"/>
      <c r="U1581" s="141"/>
      <c r="V1581" s="141"/>
      <c r="W1581" s="765"/>
      <c r="X1581" s="766"/>
      <c r="Y1581" s="767"/>
      <c r="Z1581" s="2360"/>
      <c r="AA1581" s="1295"/>
      <c r="AB1581" s="1375"/>
      <c r="AC1581" s="901">
        <v>1758.5</v>
      </c>
      <c r="AD1581" s="1120" t="s">
        <v>3</v>
      </c>
      <c r="AE1581" s="1232"/>
      <c r="AF1581" s="773"/>
      <c r="AG1581" s="961"/>
      <c r="AH1581" s="484"/>
      <c r="AI1581" s="463"/>
      <c r="AJ1581" s="14"/>
      <c r="AK1581" s="423"/>
      <c r="AL1581" s="143"/>
      <c r="AM1581" s="962"/>
      <c r="AN1581" s="282"/>
      <c r="AO1581" s="962"/>
      <c r="AP1581" s="962"/>
      <c r="AQ1581" s="962"/>
      <c r="AR1581" s="768"/>
    </row>
    <row r="1582" spans="1:86" s="144" customFormat="1" ht="28.9" customHeight="1" x14ac:dyDescent="0.25">
      <c r="A1582" s="1381">
        <v>5</v>
      </c>
      <c r="B1582" s="1383">
        <v>2242526</v>
      </c>
      <c r="C1582" s="2357" t="s">
        <v>741</v>
      </c>
      <c r="D1582" s="1385">
        <v>0.5</v>
      </c>
      <c r="E1582" s="1387">
        <v>6321</v>
      </c>
      <c r="F1582" s="1350">
        <v>0.49199999999999999</v>
      </c>
      <c r="G1582" s="1387">
        <f>E1582</f>
        <v>6321</v>
      </c>
      <c r="H1582" s="770"/>
      <c r="I1582" s="770"/>
      <c r="J1582" s="770"/>
      <c r="K1582" s="81"/>
      <c r="L1582" s="771"/>
      <c r="M1582" s="772"/>
      <c r="N1582" s="141"/>
      <c r="O1582" s="141"/>
      <c r="P1582" s="141"/>
      <c r="Q1582" s="141"/>
      <c r="R1582" s="141"/>
      <c r="S1582" s="141"/>
      <c r="T1582" s="141"/>
      <c r="U1582" s="141"/>
      <c r="V1582" s="141"/>
      <c r="W1582" s="765"/>
      <c r="X1582" s="766"/>
      <c r="Y1582" s="767"/>
      <c r="Z1582" s="2359"/>
      <c r="AA1582" s="1294"/>
      <c r="AB1582" s="1374" t="s">
        <v>5</v>
      </c>
      <c r="AC1582" s="906">
        <v>0.5</v>
      </c>
      <c r="AD1582" s="1120" t="s">
        <v>2</v>
      </c>
      <c r="AE1582" s="1231">
        <v>8000</v>
      </c>
      <c r="AF1582" s="773"/>
      <c r="AG1582" s="961"/>
      <c r="AH1582" s="484"/>
      <c r="AI1582" s="463"/>
      <c r="AJ1582" s="14"/>
      <c r="AK1582" s="423"/>
      <c r="AL1582" s="143"/>
      <c r="AM1582" s="962"/>
      <c r="AN1582" s="282"/>
      <c r="AO1582" s="962"/>
      <c r="AP1582" s="962"/>
      <c r="AQ1582" s="962"/>
      <c r="AR1582" s="768"/>
    </row>
    <row r="1583" spans="1:86" s="144" customFormat="1" ht="28.9" customHeight="1" x14ac:dyDescent="0.25">
      <c r="A1583" s="1382"/>
      <c r="B1583" s="1384"/>
      <c r="C1583" s="2358"/>
      <c r="D1583" s="1386"/>
      <c r="E1583" s="1388"/>
      <c r="F1583" s="1297"/>
      <c r="G1583" s="1297"/>
      <c r="H1583" s="770"/>
      <c r="I1583" s="770"/>
      <c r="J1583" s="770"/>
      <c r="K1583" s="81"/>
      <c r="L1583" s="771"/>
      <c r="M1583" s="772"/>
      <c r="N1583" s="141"/>
      <c r="O1583" s="141"/>
      <c r="P1583" s="141"/>
      <c r="Q1583" s="141"/>
      <c r="R1583" s="141"/>
      <c r="S1583" s="141"/>
      <c r="T1583" s="141"/>
      <c r="U1583" s="141"/>
      <c r="V1583" s="141"/>
      <c r="W1583" s="765"/>
      <c r="X1583" s="766"/>
      <c r="Y1583" s="767"/>
      <c r="Z1583" s="2360"/>
      <c r="AA1583" s="1295"/>
      <c r="AB1583" s="1375"/>
      <c r="AC1583" s="901">
        <v>6321</v>
      </c>
      <c r="AD1583" s="1120" t="s">
        <v>3</v>
      </c>
      <c r="AE1583" s="1232"/>
      <c r="AF1583" s="773"/>
      <c r="AG1583" s="961"/>
      <c r="AH1583" s="484"/>
      <c r="AI1583" s="463"/>
      <c r="AJ1583" s="14"/>
      <c r="AK1583" s="423"/>
      <c r="AL1583" s="143"/>
      <c r="AM1583" s="962"/>
      <c r="AN1583" s="282"/>
      <c r="AO1583" s="962"/>
      <c r="AP1583" s="962"/>
      <c r="AQ1583" s="962"/>
      <c r="AR1583" s="768"/>
    </row>
    <row r="1584" spans="1:86" s="144" customFormat="1" ht="36" customHeight="1" x14ac:dyDescent="0.25">
      <c r="A1584" s="1381">
        <v>6</v>
      </c>
      <c r="B1584" s="2334">
        <v>2239661</v>
      </c>
      <c r="C1584" s="1372" t="s">
        <v>1490</v>
      </c>
      <c r="D1584" s="1374">
        <v>1.863</v>
      </c>
      <c r="E1584" s="1470">
        <v>15993</v>
      </c>
      <c r="F1584" s="1374">
        <v>1.863</v>
      </c>
      <c r="G1584" s="1472">
        <f>E1584</f>
        <v>15993</v>
      </c>
      <c r="H1584" s="906"/>
      <c r="I1584" s="1120"/>
      <c r="J1584" s="1120"/>
      <c r="K1584" s="1120"/>
      <c r="L1584" s="1120"/>
      <c r="M1584" s="1120"/>
      <c r="N1584" s="302"/>
      <c r="O1584" s="302"/>
      <c r="P1584" s="460"/>
      <c r="Q1584" s="906"/>
      <c r="R1584" s="1120"/>
      <c r="S1584" s="492"/>
      <c r="T1584" s="302"/>
      <c r="U1584" s="302"/>
      <c r="V1584" s="460"/>
      <c r="W1584" s="906"/>
      <c r="X1584" s="1120"/>
      <c r="Y1584" s="298"/>
      <c r="Z1584" s="143"/>
      <c r="AA1584" s="962"/>
      <c r="AB1584" s="282"/>
      <c r="AC1584" s="962"/>
      <c r="AD1584" s="962"/>
      <c r="AE1584" s="962"/>
      <c r="AF1584" s="1332" t="s">
        <v>441</v>
      </c>
      <c r="AG1584" s="1332" t="s">
        <v>1381</v>
      </c>
      <c r="AH1584" s="1374" t="s">
        <v>5</v>
      </c>
      <c r="AI1584" s="906">
        <v>1.863</v>
      </c>
      <c r="AJ1584" s="1120" t="s">
        <v>2</v>
      </c>
      <c r="AK1584" s="1380">
        <v>55592.453200000004</v>
      </c>
      <c r="AL1584" s="143"/>
      <c r="AM1584" s="962"/>
      <c r="AN1584" s="282"/>
      <c r="AO1584" s="962"/>
      <c r="AP1584" s="962"/>
      <c r="AQ1584" s="962"/>
      <c r="AR1584" s="1233" t="s">
        <v>1233</v>
      </c>
    </row>
    <row r="1585" spans="1:86" s="144" customFormat="1" ht="36" customHeight="1" x14ac:dyDescent="0.25">
      <c r="A1585" s="1382"/>
      <c r="B1585" s="2335"/>
      <c r="C1585" s="1373"/>
      <c r="D1585" s="1375"/>
      <c r="E1585" s="1471"/>
      <c r="F1585" s="1375"/>
      <c r="G1585" s="1473"/>
      <c r="H1585" s="906"/>
      <c r="I1585" s="1120"/>
      <c r="J1585" s="1120"/>
      <c r="K1585" s="1120"/>
      <c r="L1585" s="1120"/>
      <c r="M1585" s="1120"/>
      <c r="N1585" s="302"/>
      <c r="O1585" s="302"/>
      <c r="P1585" s="460"/>
      <c r="Q1585" s="892"/>
      <c r="R1585" s="1120"/>
      <c r="S1585" s="492"/>
      <c r="T1585" s="302"/>
      <c r="U1585" s="302"/>
      <c r="V1585" s="460"/>
      <c r="W1585" s="901"/>
      <c r="X1585" s="1120"/>
      <c r="Y1585" s="298"/>
      <c r="Z1585" s="143"/>
      <c r="AA1585" s="962"/>
      <c r="AB1585" s="282"/>
      <c r="AC1585" s="962"/>
      <c r="AD1585" s="962"/>
      <c r="AE1585" s="962"/>
      <c r="AF1585" s="1235"/>
      <c r="AG1585" s="1235"/>
      <c r="AH1585" s="1375"/>
      <c r="AI1585" s="901">
        <v>15993</v>
      </c>
      <c r="AJ1585" s="1120" t="s">
        <v>3</v>
      </c>
      <c r="AK1585" s="1335"/>
      <c r="AL1585" s="143"/>
      <c r="AM1585" s="962"/>
      <c r="AN1585" s="282"/>
      <c r="AO1585" s="962"/>
      <c r="AP1585" s="962"/>
      <c r="AQ1585" s="962"/>
      <c r="AR1585" s="1233"/>
    </row>
    <row r="1586" spans="1:86" s="20" customFormat="1" ht="27" customHeight="1" x14ac:dyDescent="0.2">
      <c r="A1586" s="1381">
        <v>7</v>
      </c>
      <c r="B1586" s="1374" t="s">
        <v>373</v>
      </c>
      <c r="C1586" s="1372" t="s">
        <v>230</v>
      </c>
      <c r="D1586" s="1374">
        <v>3.923</v>
      </c>
      <c r="E1586" s="1470">
        <v>53728</v>
      </c>
      <c r="F1586" s="1374">
        <v>3.923</v>
      </c>
      <c r="G1586" s="1558">
        <f>E1586</f>
        <v>53728</v>
      </c>
      <c r="H1586" s="906"/>
      <c r="I1586" s="906"/>
      <c r="J1586" s="906"/>
      <c r="K1586" s="906"/>
      <c r="L1586" s="906"/>
      <c r="M1586" s="906"/>
      <c r="N1586" s="302"/>
      <c r="O1586" s="302"/>
      <c r="P1586" s="460"/>
      <c r="Q1586" s="906"/>
      <c r="R1586" s="1120"/>
      <c r="S1586" s="492"/>
      <c r="T1586" s="460"/>
      <c r="U1586" s="460"/>
      <c r="V1586" s="34"/>
      <c r="W1586" s="906"/>
      <c r="X1586" s="906"/>
      <c r="Y1586" s="460"/>
      <c r="Z1586" s="61"/>
      <c r="AA1586" s="61"/>
      <c r="AB1586" s="61"/>
      <c r="AC1586" s="61"/>
      <c r="AD1586" s="61"/>
      <c r="AE1586" s="61"/>
      <c r="AF1586" s="1374" t="s">
        <v>1456</v>
      </c>
      <c r="AG1586" s="1374" t="s">
        <v>1457</v>
      </c>
      <c r="AH1586" s="1233" t="s">
        <v>43</v>
      </c>
      <c r="AI1586" s="906">
        <v>3.923</v>
      </c>
      <c r="AJ1586" s="906" t="s">
        <v>2</v>
      </c>
      <c r="AK1586" s="1374">
        <v>134776.54680000001</v>
      </c>
      <c r="AL1586" s="61"/>
      <c r="AM1586" s="61"/>
      <c r="AN1586" s="61"/>
      <c r="AO1586" s="61"/>
      <c r="AP1586" s="61"/>
      <c r="AQ1586" s="61"/>
      <c r="AR1586" s="1233"/>
    </row>
    <row r="1587" spans="1:86" s="20" customFormat="1" ht="27" customHeight="1" x14ac:dyDescent="0.2">
      <c r="A1587" s="1382"/>
      <c r="B1587" s="1375"/>
      <c r="C1587" s="1373"/>
      <c r="D1587" s="1375"/>
      <c r="E1587" s="1471"/>
      <c r="F1587" s="1375"/>
      <c r="G1587" s="1271"/>
      <c r="H1587" s="906"/>
      <c r="I1587" s="906"/>
      <c r="J1587" s="906"/>
      <c r="K1587" s="906"/>
      <c r="L1587" s="906"/>
      <c r="M1587" s="906"/>
      <c r="N1587" s="302"/>
      <c r="O1587" s="302"/>
      <c r="P1587" s="460"/>
      <c r="Q1587" s="892"/>
      <c r="R1587" s="1120"/>
      <c r="S1587" s="492"/>
      <c r="T1587" s="460"/>
      <c r="U1587" s="460"/>
      <c r="V1587" s="34"/>
      <c r="W1587" s="892"/>
      <c r="X1587" s="906"/>
      <c r="Y1587" s="460"/>
      <c r="Z1587" s="61"/>
      <c r="AA1587" s="61"/>
      <c r="AB1587" s="61"/>
      <c r="AC1587" s="61"/>
      <c r="AD1587" s="61"/>
      <c r="AE1587" s="61"/>
      <c r="AF1587" s="1375"/>
      <c r="AG1587" s="1375"/>
      <c r="AH1587" s="1233"/>
      <c r="AI1587" s="892">
        <v>53728</v>
      </c>
      <c r="AJ1587" s="906" t="s">
        <v>4</v>
      </c>
      <c r="AK1587" s="1375"/>
      <c r="AL1587" s="61"/>
      <c r="AM1587" s="61"/>
      <c r="AN1587" s="61"/>
      <c r="AO1587" s="61"/>
      <c r="AP1587" s="61"/>
      <c r="AQ1587" s="61"/>
      <c r="AR1587" s="1233"/>
    </row>
    <row r="1588" spans="1:86" s="20" customFormat="1" ht="27" customHeight="1" x14ac:dyDescent="0.2">
      <c r="A1588" s="999"/>
      <c r="B1588" s="769" t="s">
        <v>1025</v>
      </c>
      <c r="C1588" s="1032"/>
      <c r="D1588" s="996"/>
      <c r="E1588" s="987"/>
      <c r="F1588" s="996"/>
      <c r="G1588" s="970"/>
      <c r="H1588" s="996"/>
      <c r="I1588" s="996"/>
      <c r="J1588" s="996"/>
      <c r="K1588" s="996"/>
      <c r="L1588" s="996"/>
      <c r="M1588" s="996"/>
      <c r="N1588" s="302"/>
      <c r="O1588" s="302"/>
      <c r="P1588" s="460"/>
      <c r="Q1588" s="992"/>
      <c r="R1588" s="1058"/>
      <c r="S1588" s="492"/>
      <c r="T1588" s="775"/>
      <c r="U1588" s="775"/>
      <c r="V1588" s="34"/>
      <c r="W1588" s="892"/>
      <c r="X1588" s="906"/>
      <c r="Y1588" s="460"/>
      <c r="Z1588" s="61"/>
      <c r="AA1588" s="61"/>
      <c r="AB1588" s="764"/>
      <c r="AC1588" s="1195">
        <f>AC1589</f>
        <v>0.89500000000000002</v>
      </c>
      <c r="AD1588" s="577"/>
      <c r="AE1588" s="1196">
        <f>AE1589</f>
        <v>15507.904</v>
      </c>
      <c r="AF1588" s="996"/>
      <c r="AG1588" s="996"/>
      <c r="AH1588" s="878"/>
      <c r="AI1588" s="448">
        <f>AI1591+AI1593</f>
        <v>3.17</v>
      </c>
      <c r="AJ1588" s="448"/>
      <c r="AK1588" s="152">
        <f>AK1591+AK1593</f>
        <v>48525.093999999997</v>
      </c>
      <c r="AL1588" s="61"/>
      <c r="AM1588" s="61"/>
      <c r="AN1588" s="61"/>
      <c r="AO1588" s="61"/>
      <c r="AP1588" s="61"/>
      <c r="AQ1588" s="61"/>
      <c r="AR1588" s="878"/>
    </row>
    <row r="1589" spans="1:86" s="20" customFormat="1" ht="27" customHeight="1" x14ac:dyDescent="0.2">
      <c r="A1589" s="1381">
        <v>1</v>
      </c>
      <c r="B1589" s="1370" t="s">
        <v>898</v>
      </c>
      <c r="C1589" s="1372" t="s">
        <v>1591</v>
      </c>
      <c r="D1589" s="1374">
        <v>9</v>
      </c>
      <c r="E1589" s="1376"/>
      <c r="F1589" s="1374">
        <v>0.9</v>
      </c>
      <c r="G1589" s="1378"/>
      <c r="H1589" s="1071"/>
      <c r="I1589" s="1071"/>
      <c r="J1589" s="1071"/>
      <c r="K1589" s="1071"/>
      <c r="L1589" s="1071"/>
      <c r="M1589" s="1071"/>
      <c r="N1589" s="1190"/>
      <c r="O1589" s="1190"/>
      <c r="P1589" s="1191"/>
      <c r="Q1589" s="1192"/>
      <c r="R1589" s="1137"/>
      <c r="S1589" s="1193"/>
      <c r="T1589" s="1194"/>
      <c r="U1589" s="1194"/>
      <c r="V1589" s="233"/>
      <c r="W1589" s="625"/>
      <c r="X1589" s="465"/>
      <c r="Y1589" s="1191"/>
      <c r="Z1589" s="1332"/>
      <c r="AA1589" s="1332"/>
      <c r="AB1589" s="1374" t="s">
        <v>5</v>
      </c>
      <c r="AC1589" s="906">
        <v>0.89500000000000002</v>
      </c>
      <c r="AD1589" s="1120" t="s">
        <v>2</v>
      </c>
      <c r="AE1589" s="1380">
        <v>15507.904</v>
      </c>
      <c r="AF1589" s="802"/>
      <c r="AG1589" s="802"/>
      <c r="AH1589" s="1185"/>
      <c r="AI1589" s="840"/>
      <c r="AJ1589" s="1187"/>
      <c r="AK1589" s="1188"/>
      <c r="AL1589" s="858"/>
      <c r="AM1589" s="858"/>
      <c r="AN1589" s="858"/>
      <c r="AO1589" s="858"/>
      <c r="AP1589" s="858"/>
      <c r="AQ1589" s="858"/>
      <c r="AR1589" s="1131"/>
    </row>
    <row r="1590" spans="1:86" s="20" customFormat="1" ht="27" customHeight="1" x14ac:dyDescent="0.2">
      <c r="A1590" s="1382"/>
      <c r="B1590" s="1371"/>
      <c r="C1590" s="1373"/>
      <c r="D1590" s="1375"/>
      <c r="E1590" s="1377"/>
      <c r="F1590" s="1375"/>
      <c r="G1590" s="1379"/>
      <c r="H1590" s="1071"/>
      <c r="I1590" s="1071"/>
      <c r="J1590" s="1071"/>
      <c r="K1590" s="1071"/>
      <c r="L1590" s="1071"/>
      <c r="M1590" s="1071"/>
      <c r="N1590" s="1190"/>
      <c r="O1590" s="1190"/>
      <c r="P1590" s="1191"/>
      <c r="Q1590" s="1192"/>
      <c r="R1590" s="1137"/>
      <c r="S1590" s="1193"/>
      <c r="T1590" s="1194"/>
      <c r="U1590" s="1194"/>
      <c r="V1590" s="233"/>
      <c r="W1590" s="625"/>
      <c r="X1590" s="465"/>
      <c r="Y1590" s="1191"/>
      <c r="Z1590" s="1235"/>
      <c r="AA1590" s="1235"/>
      <c r="AB1590" s="1375"/>
      <c r="AC1590" s="901"/>
      <c r="AD1590" s="1120" t="s">
        <v>3</v>
      </c>
      <c r="AE1590" s="1335"/>
      <c r="AF1590" s="802"/>
      <c r="AG1590" s="802"/>
      <c r="AH1590" s="1185"/>
      <c r="AI1590" s="1189"/>
      <c r="AJ1590" s="1187"/>
      <c r="AK1590" s="1188"/>
      <c r="AL1590" s="858"/>
      <c r="AM1590" s="858"/>
      <c r="AN1590" s="858"/>
      <c r="AO1590" s="858"/>
      <c r="AP1590" s="858"/>
      <c r="AQ1590" s="858"/>
      <c r="AR1590" s="1131"/>
    </row>
    <row r="1591" spans="1:86" s="20" customFormat="1" ht="33" customHeight="1" x14ac:dyDescent="0.2">
      <c r="A1591" s="1381">
        <v>2</v>
      </c>
      <c r="B1591" s="1370">
        <v>2242146</v>
      </c>
      <c r="C1591" s="1372" t="s">
        <v>70</v>
      </c>
      <c r="D1591" s="1374">
        <v>6.63</v>
      </c>
      <c r="E1591" s="1470">
        <v>97914</v>
      </c>
      <c r="F1591" s="1374">
        <v>6.63</v>
      </c>
      <c r="G1591" s="1558">
        <v>97914</v>
      </c>
      <c r="H1591" s="996"/>
      <c r="I1591" s="996"/>
      <c r="J1591" s="996"/>
      <c r="K1591" s="996"/>
      <c r="L1591" s="996"/>
      <c r="M1591" s="996"/>
      <c r="N1591" s="302"/>
      <c r="O1591" s="302"/>
      <c r="P1591" s="460"/>
      <c r="Q1591" s="992"/>
      <c r="R1591" s="1058"/>
      <c r="S1591" s="492"/>
      <c r="T1591" s="775"/>
      <c r="U1591" s="775"/>
      <c r="V1591" s="34"/>
      <c r="W1591" s="892"/>
      <c r="X1591" s="906"/>
      <c r="Y1591" s="460"/>
      <c r="Z1591" s="61"/>
      <c r="AA1591" s="61"/>
      <c r="AB1591" s="764"/>
      <c r="AC1591" s="764"/>
      <c r="AD1591" s="764"/>
      <c r="AE1591" s="61"/>
      <c r="AF1591" s="1332" t="s">
        <v>1531</v>
      </c>
      <c r="AG1591" s="1332" t="s">
        <v>1532</v>
      </c>
      <c r="AH1591" s="1374" t="s">
        <v>5</v>
      </c>
      <c r="AI1591" s="906">
        <v>2.37</v>
      </c>
      <c r="AJ1591" s="1120" t="s">
        <v>2</v>
      </c>
      <c r="AK1591" s="1380">
        <v>40500.637999999999</v>
      </c>
      <c r="AL1591" s="61"/>
      <c r="AM1591" s="61"/>
      <c r="AN1591" s="61"/>
      <c r="AO1591" s="61"/>
      <c r="AP1591" s="61"/>
      <c r="AQ1591" s="61"/>
      <c r="AR1591" s="878"/>
    </row>
    <row r="1592" spans="1:86" s="20" customFormat="1" ht="27" customHeight="1" x14ac:dyDescent="0.2">
      <c r="A1592" s="1382"/>
      <c r="B1592" s="1371"/>
      <c r="C1592" s="1373"/>
      <c r="D1592" s="1375"/>
      <c r="E1592" s="1471"/>
      <c r="F1592" s="1375"/>
      <c r="G1592" s="1271"/>
      <c r="H1592" s="996"/>
      <c r="I1592" s="996"/>
      <c r="J1592" s="996"/>
      <c r="K1592" s="996"/>
      <c r="L1592" s="996"/>
      <c r="M1592" s="996"/>
      <c r="N1592" s="302"/>
      <c r="O1592" s="302"/>
      <c r="P1592" s="460"/>
      <c r="Q1592" s="992"/>
      <c r="R1592" s="1058"/>
      <c r="S1592" s="492"/>
      <c r="T1592" s="775"/>
      <c r="U1592" s="775"/>
      <c r="V1592" s="34"/>
      <c r="W1592" s="892"/>
      <c r="X1592" s="906"/>
      <c r="Y1592" s="460"/>
      <c r="Z1592" s="61"/>
      <c r="AA1592" s="61"/>
      <c r="AB1592" s="764"/>
      <c r="AC1592" s="764"/>
      <c r="AD1592" s="764"/>
      <c r="AE1592" s="61"/>
      <c r="AF1592" s="1235"/>
      <c r="AG1592" s="1235"/>
      <c r="AH1592" s="1375"/>
      <c r="AI1592" s="901">
        <f>G1591/F1591*AI1591</f>
        <v>35000.932126696833</v>
      </c>
      <c r="AJ1592" s="1120" t="s">
        <v>3</v>
      </c>
      <c r="AK1592" s="1335"/>
      <c r="AL1592" s="61"/>
      <c r="AM1592" s="61"/>
      <c r="AN1592" s="61"/>
      <c r="AO1592" s="61"/>
      <c r="AP1592" s="61"/>
      <c r="AQ1592" s="61"/>
      <c r="AR1592" s="878"/>
    </row>
    <row r="1593" spans="1:86" s="120" customFormat="1" ht="34.15" customHeight="1" x14ac:dyDescent="0.2">
      <c r="A1593" s="1847">
        <v>3</v>
      </c>
      <c r="B1593" s="1849" t="s">
        <v>304</v>
      </c>
      <c r="C1593" s="1845" t="s">
        <v>460</v>
      </c>
      <c r="D1593" s="1836">
        <v>1.478</v>
      </c>
      <c r="E1593" s="1362">
        <v>12965.3</v>
      </c>
      <c r="F1593" s="1836">
        <v>1.478</v>
      </c>
      <c r="G1593" s="1362">
        <v>12965.3</v>
      </c>
      <c r="H1593" s="1595"/>
      <c r="I1593" s="1595"/>
      <c r="J1593" s="1595"/>
      <c r="K1593" s="1595"/>
      <c r="L1593" s="1595"/>
      <c r="M1593" s="406"/>
      <c r="N1593" s="406"/>
      <c r="O1593" s="406"/>
      <c r="P1593" s="406"/>
      <c r="Q1593" s="406"/>
      <c r="R1593" s="406"/>
      <c r="S1593" s="409"/>
      <c r="T1593" s="802"/>
      <c r="U1593" s="802"/>
      <c r="V1593" s="803"/>
      <c r="W1593" s="801"/>
      <c r="X1593" s="801"/>
      <c r="Y1593" s="2511"/>
      <c r="Z1593" s="802"/>
      <c r="AA1593" s="802"/>
      <c r="AB1593" s="803"/>
      <c r="AC1593" s="801"/>
      <c r="AD1593" s="801"/>
      <c r="AE1593" s="804"/>
      <c r="AF1593" s="1332" t="s">
        <v>1494</v>
      </c>
      <c r="AG1593" s="1332" t="s">
        <v>1495</v>
      </c>
      <c r="AH1593" s="1774" t="s">
        <v>43</v>
      </c>
      <c r="AI1593" s="1012">
        <v>0.8</v>
      </c>
      <c r="AJ1593" s="1068" t="s">
        <v>2</v>
      </c>
      <c r="AK1593" s="1959">
        <v>8024.4560000000001</v>
      </c>
      <c r="AL1593" s="1595"/>
      <c r="AM1593" s="1595"/>
      <c r="AN1593" s="1595"/>
      <c r="AO1593" s="1595"/>
      <c r="AP1593" s="1595"/>
      <c r="AQ1593" s="1595"/>
      <c r="AR1593" s="1285"/>
      <c r="AS1593" s="119"/>
      <c r="AT1593" s="119"/>
      <c r="AU1593" s="119"/>
      <c r="AV1593" s="119"/>
      <c r="AW1593" s="119"/>
      <c r="AX1593" s="119"/>
      <c r="AY1593" s="119"/>
      <c r="AZ1593" s="119"/>
      <c r="BA1593" s="119"/>
      <c r="BB1593" s="119"/>
      <c r="BC1593" s="119"/>
      <c r="BD1593" s="119"/>
      <c r="BE1593" s="119"/>
      <c r="BF1593" s="119"/>
      <c r="BG1593" s="119"/>
      <c r="BH1593" s="119"/>
      <c r="BI1593" s="119"/>
      <c r="BJ1593" s="119"/>
      <c r="BK1593" s="119"/>
      <c r="BL1593" s="119"/>
      <c r="BM1593" s="119"/>
      <c r="BN1593" s="119"/>
      <c r="BO1593" s="119"/>
      <c r="BP1593" s="119"/>
      <c r="BQ1593" s="119"/>
      <c r="BR1593" s="119"/>
      <c r="BS1593" s="119"/>
      <c r="BT1593" s="119"/>
      <c r="BU1593" s="119"/>
      <c r="BV1593" s="119"/>
      <c r="BW1593" s="119"/>
      <c r="BX1593" s="119"/>
      <c r="BY1593" s="119"/>
      <c r="BZ1593" s="119"/>
      <c r="CA1593" s="119"/>
      <c r="CB1593" s="119"/>
      <c r="CC1593" s="119"/>
      <c r="CD1593" s="119"/>
      <c r="CE1593" s="119"/>
      <c r="CF1593" s="119"/>
      <c r="CG1593" s="119"/>
      <c r="CH1593" s="119"/>
    </row>
    <row r="1594" spans="1:86" s="120" customFormat="1" ht="34.15" customHeight="1" x14ac:dyDescent="0.2">
      <c r="A1594" s="1848"/>
      <c r="B1594" s="1830"/>
      <c r="C1594" s="1846"/>
      <c r="D1594" s="1779"/>
      <c r="E1594" s="1835"/>
      <c r="F1594" s="1779"/>
      <c r="G1594" s="1835"/>
      <c r="H1594" s="1593"/>
      <c r="I1594" s="1593"/>
      <c r="J1594" s="1593"/>
      <c r="K1594" s="1593"/>
      <c r="L1594" s="1593"/>
      <c r="M1594" s="406"/>
      <c r="N1594" s="406"/>
      <c r="O1594" s="406"/>
      <c r="P1594" s="406"/>
      <c r="Q1594" s="406"/>
      <c r="R1594" s="406"/>
      <c r="S1594" s="409"/>
      <c r="T1594" s="802"/>
      <c r="U1594" s="802"/>
      <c r="V1594" s="803"/>
      <c r="W1594" s="820"/>
      <c r="X1594" s="801"/>
      <c r="Y1594" s="2511"/>
      <c r="Z1594" s="802"/>
      <c r="AA1594" s="802"/>
      <c r="AB1594" s="803"/>
      <c r="AC1594" s="805"/>
      <c r="AD1594" s="801"/>
      <c r="AE1594" s="804"/>
      <c r="AF1594" s="1235"/>
      <c r="AG1594" s="1235"/>
      <c r="AH1594" s="1213"/>
      <c r="AI1594" s="1113">
        <f>G1593/F1593*AI1593</f>
        <v>7017.7537212449261</v>
      </c>
      <c r="AJ1594" s="1068" t="s">
        <v>3</v>
      </c>
      <c r="AK1594" s="1960"/>
      <c r="AL1594" s="1593"/>
      <c r="AM1594" s="1593"/>
      <c r="AN1594" s="1593"/>
      <c r="AO1594" s="1593"/>
      <c r="AP1594" s="1593"/>
      <c r="AQ1594" s="1593"/>
      <c r="AR1594" s="1213"/>
      <c r="AS1594" s="119"/>
      <c r="AT1594" s="119"/>
      <c r="AU1594" s="119"/>
      <c r="AV1594" s="119"/>
      <c r="AW1594" s="119"/>
      <c r="AX1594" s="119"/>
      <c r="AY1594" s="119"/>
      <c r="AZ1594" s="119"/>
      <c r="BA1594" s="119"/>
      <c r="BB1594" s="119"/>
      <c r="BC1594" s="119"/>
      <c r="BD1594" s="119"/>
      <c r="BE1594" s="119"/>
      <c r="BF1594" s="119"/>
      <c r="BG1594" s="119"/>
      <c r="BH1594" s="119"/>
      <c r="BI1594" s="119"/>
      <c r="BJ1594" s="119"/>
      <c r="BK1594" s="119"/>
      <c r="BL1594" s="119"/>
      <c r="BM1594" s="119"/>
      <c r="BN1594" s="119"/>
      <c r="BO1594" s="119"/>
      <c r="BP1594" s="119"/>
      <c r="BQ1594" s="119"/>
      <c r="BR1594" s="119"/>
      <c r="BS1594" s="119"/>
      <c r="BT1594" s="119"/>
      <c r="BU1594" s="119"/>
      <c r="BV1594" s="119"/>
      <c r="BW1594" s="119"/>
      <c r="BX1594" s="119"/>
      <c r="BY1594" s="119"/>
      <c r="BZ1594" s="119"/>
      <c r="CA1594" s="119"/>
      <c r="CB1594" s="119"/>
      <c r="CC1594" s="119"/>
      <c r="CD1594" s="119"/>
      <c r="CE1594" s="119"/>
      <c r="CF1594" s="119"/>
      <c r="CG1594" s="119"/>
      <c r="CH1594" s="119"/>
    </row>
    <row r="1595" spans="1:86" s="20" customFormat="1" ht="26.65" hidden="1" customHeight="1" x14ac:dyDescent="0.2">
      <c r="A1595" s="998">
        <v>2</v>
      </c>
      <c r="B1595" s="2240" t="s">
        <v>1432</v>
      </c>
      <c r="C1595" s="1372" t="s">
        <v>1427</v>
      </c>
      <c r="D1595" s="1374">
        <v>1.1000000000000001</v>
      </c>
      <c r="E1595" s="1470">
        <f>D1595*4586</f>
        <v>5044.6000000000004</v>
      </c>
      <c r="F1595" s="1374">
        <v>1.1000000000000001</v>
      </c>
      <c r="G1595" s="1558">
        <f t="shared" ref="G1595" si="38">E1595</f>
        <v>5044.6000000000004</v>
      </c>
      <c r="H1595" s="906"/>
      <c r="I1595" s="1120"/>
      <c r="J1595" s="1120"/>
      <c r="K1595" s="1120"/>
      <c r="L1595" s="1120"/>
      <c r="M1595" s="1120"/>
      <c r="N1595" s="1332"/>
      <c r="O1595" s="1332"/>
      <c r="P1595" s="1374"/>
      <c r="Q1595" s="906"/>
      <c r="R1595" s="1120"/>
      <c r="S1595" s="2089"/>
      <c r="T1595" s="1332" t="s">
        <v>1097</v>
      </c>
      <c r="U1595" s="1332" t="s">
        <v>1460</v>
      </c>
      <c r="V1595" s="1233" t="s">
        <v>43</v>
      </c>
      <c r="W1595" s="906">
        <v>0.874</v>
      </c>
      <c r="X1595" s="1120" t="s">
        <v>2</v>
      </c>
      <c r="Y1595" s="2231">
        <v>12571.2528</v>
      </c>
      <c r="Z1595" s="61"/>
      <c r="AA1595" s="61"/>
      <c r="AB1595" s="61"/>
      <c r="AC1595" s="61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</row>
    <row r="1596" spans="1:86" s="20" customFormat="1" ht="26.65" hidden="1" customHeight="1" x14ac:dyDescent="0.2">
      <c r="A1596" s="999"/>
      <c r="B1596" s="2241"/>
      <c r="C1596" s="1373"/>
      <c r="D1596" s="1375"/>
      <c r="E1596" s="1471"/>
      <c r="F1596" s="1375"/>
      <c r="G1596" s="1271"/>
      <c r="H1596" s="906"/>
      <c r="I1596" s="1120"/>
      <c r="J1596" s="1120"/>
      <c r="K1596" s="1120"/>
      <c r="L1596" s="1120"/>
      <c r="M1596" s="1120"/>
      <c r="N1596" s="1235"/>
      <c r="O1596" s="1235"/>
      <c r="P1596" s="1375"/>
      <c r="Q1596" s="892"/>
      <c r="R1596" s="1120"/>
      <c r="S1596" s="2090"/>
      <c r="T1596" s="1235"/>
      <c r="U1596" s="1235"/>
      <c r="V1596" s="1233"/>
      <c r="W1596" s="892">
        <v>5247</v>
      </c>
      <c r="X1596" s="1120" t="s">
        <v>3</v>
      </c>
      <c r="Y1596" s="2090"/>
      <c r="Z1596" s="61"/>
      <c r="AA1596" s="61"/>
      <c r="AB1596" s="61"/>
      <c r="AC1596" s="61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</row>
    <row r="1597" spans="1:86" s="20" customFormat="1" ht="26.65" hidden="1" customHeight="1" x14ac:dyDescent="0.2">
      <c r="A1597" s="998">
        <v>3</v>
      </c>
      <c r="B1597" s="2240" t="s">
        <v>1431</v>
      </c>
      <c r="C1597" s="1372" t="s">
        <v>1428</v>
      </c>
      <c r="D1597" s="1374">
        <v>0.7</v>
      </c>
      <c r="E1597" s="1470">
        <v>4410</v>
      </c>
      <c r="F1597" s="1374">
        <v>0.7</v>
      </c>
      <c r="G1597" s="1558">
        <f t="shared" ref="G1597" si="39">E1597</f>
        <v>4410</v>
      </c>
      <c r="H1597" s="906"/>
      <c r="I1597" s="1120"/>
      <c r="J1597" s="1120"/>
      <c r="K1597" s="1120"/>
      <c r="L1597" s="1120"/>
      <c r="M1597" s="1120"/>
      <c r="N1597" s="1332"/>
      <c r="O1597" s="1332"/>
      <c r="P1597" s="1374"/>
      <c r="Q1597" s="906"/>
      <c r="R1597" s="1120"/>
      <c r="S1597" s="2089"/>
      <c r="T1597" s="1332" t="s">
        <v>1460</v>
      </c>
      <c r="U1597" s="1332" t="s">
        <v>1461</v>
      </c>
      <c r="V1597" s="1233" t="s">
        <v>43</v>
      </c>
      <c r="W1597" s="906">
        <v>0.7</v>
      </c>
      <c r="X1597" s="1120" t="s">
        <v>2</v>
      </c>
      <c r="Y1597" s="2089">
        <v>12500.79</v>
      </c>
      <c r="Z1597" s="29"/>
      <c r="AA1597" s="61"/>
      <c r="AB1597" s="61"/>
      <c r="AC1597" s="61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</row>
    <row r="1598" spans="1:86" s="20" customFormat="1" ht="26.65" hidden="1" customHeight="1" x14ac:dyDescent="0.2">
      <c r="A1598" s="999"/>
      <c r="B1598" s="2241"/>
      <c r="C1598" s="1373"/>
      <c r="D1598" s="1375"/>
      <c r="E1598" s="1471"/>
      <c r="F1598" s="1375"/>
      <c r="G1598" s="1271"/>
      <c r="H1598" s="906"/>
      <c r="I1598" s="1120"/>
      <c r="J1598" s="1120"/>
      <c r="K1598" s="1120"/>
      <c r="L1598" s="1120"/>
      <c r="M1598" s="1120"/>
      <c r="N1598" s="1235"/>
      <c r="O1598" s="1235"/>
      <c r="P1598" s="1375"/>
      <c r="Q1598" s="892"/>
      <c r="R1598" s="1120"/>
      <c r="S1598" s="2090"/>
      <c r="T1598" s="1235"/>
      <c r="U1598" s="1235"/>
      <c r="V1598" s="1233"/>
      <c r="W1598" s="892">
        <v>4410</v>
      </c>
      <c r="X1598" s="1120" t="s">
        <v>3</v>
      </c>
      <c r="Y1598" s="2090"/>
      <c r="Z1598" s="61"/>
      <c r="AA1598" s="61"/>
      <c r="AB1598" s="61"/>
      <c r="AC1598" s="61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</row>
    <row r="1599" spans="1:86" s="20" customFormat="1" ht="26.65" hidden="1" customHeight="1" x14ac:dyDescent="0.2">
      <c r="A1599" s="1381">
        <v>4</v>
      </c>
      <c r="B1599" s="2240" t="s">
        <v>1433</v>
      </c>
      <c r="C1599" s="1372" t="s">
        <v>1429</v>
      </c>
      <c r="D1599" s="1374">
        <v>1.42</v>
      </c>
      <c r="E1599" s="1470">
        <v>8235</v>
      </c>
      <c r="F1599" s="1374">
        <v>1.42</v>
      </c>
      <c r="G1599" s="1558">
        <f t="shared" ref="G1599" si="40">E1599</f>
        <v>8235</v>
      </c>
      <c r="H1599" s="906"/>
      <c r="I1599" s="1120"/>
      <c r="J1599" s="1120"/>
      <c r="K1599" s="1120"/>
      <c r="L1599" s="1120"/>
      <c r="M1599" s="1120"/>
      <c r="N1599" s="1332"/>
      <c r="O1599" s="1332"/>
      <c r="P1599" s="1374"/>
      <c r="Q1599" s="906"/>
      <c r="R1599" s="1120"/>
      <c r="S1599" s="2089"/>
      <c r="T1599" s="1332" t="s">
        <v>1098</v>
      </c>
      <c r="U1599" s="1332" t="s">
        <v>1462</v>
      </c>
      <c r="V1599" s="1233" t="s">
        <v>43</v>
      </c>
      <c r="W1599" s="906">
        <v>1.42</v>
      </c>
      <c r="X1599" s="1120" t="s">
        <v>2</v>
      </c>
      <c r="Y1599" s="2089">
        <v>28791.222000000002</v>
      </c>
      <c r="Z1599" s="61"/>
      <c r="AA1599" s="61"/>
      <c r="AB1599" s="61"/>
      <c r="AC1599" s="61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</row>
    <row r="1600" spans="1:86" s="20" customFormat="1" ht="26.65" hidden="1" customHeight="1" x14ac:dyDescent="0.2">
      <c r="A1600" s="1382"/>
      <c r="B1600" s="2241"/>
      <c r="C1600" s="1373"/>
      <c r="D1600" s="1375"/>
      <c r="E1600" s="1471"/>
      <c r="F1600" s="1375"/>
      <c r="G1600" s="1271"/>
      <c r="H1600" s="906"/>
      <c r="I1600" s="1120"/>
      <c r="J1600" s="1120"/>
      <c r="K1600" s="1120"/>
      <c r="L1600" s="1120"/>
      <c r="M1600" s="1120"/>
      <c r="N1600" s="1235"/>
      <c r="O1600" s="1235"/>
      <c r="P1600" s="1375"/>
      <c r="Q1600" s="892"/>
      <c r="R1600" s="1120"/>
      <c r="S1600" s="2090"/>
      <c r="T1600" s="1235"/>
      <c r="U1600" s="1235"/>
      <c r="V1600" s="1233"/>
      <c r="W1600" s="892">
        <f>G1599</f>
        <v>8235</v>
      </c>
      <c r="X1600" s="1120" t="s">
        <v>3</v>
      </c>
      <c r="Y1600" s="2090"/>
      <c r="Z1600" s="61"/>
      <c r="AA1600" s="61"/>
      <c r="AB1600" s="61"/>
      <c r="AC1600" s="61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</row>
    <row r="1601" spans="1:86" s="20" customFormat="1" ht="26.65" hidden="1" customHeight="1" x14ac:dyDescent="0.2">
      <c r="A1601" s="1381">
        <v>5</v>
      </c>
      <c r="B1601" s="2240" t="s">
        <v>1434</v>
      </c>
      <c r="C1601" s="1372" t="s">
        <v>1430</v>
      </c>
      <c r="D1601" s="1374">
        <v>0.69</v>
      </c>
      <c r="E1601" s="1470">
        <f>D1601*6000</f>
        <v>4140</v>
      </c>
      <c r="F1601" s="1374">
        <v>0.69</v>
      </c>
      <c r="G1601" s="1558">
        <f t="shared" ref="G1601" si="41">E1601</f>
        <v>4140</v>
      </c>
      <c r="H1601" s="906"/>
      <c r="I1601" s="1120"/>
      <c r="J1601" s="1120"/>
      <c r="K1601" s="1120"/>
      <c r="L1601" s="1120"/>
      <c r="M1601" s="1120"/>
      <c r="N1601" s="1215"/>
      <c r="O1601" s="1215"/>
      <c r="P1601" s="1374"/>
      <c r="Q1601" s="906"/>
      <c r="R1601" s="1120"/>
      <c r="S1601" s="2089"/>
      <c r="T1601" s="1215" t="s">
        <v>1097</v>
      </c>
      <c r="U1601" s="1215" t="s">
        <v>1463</v>
      </c>
      <c r="V1601" s="1233" t="s">
        <v>43</v>
      </c>
      <c r="W1601" s="906">
        <v>0.61199999999999999</v>
      </c>
      <c r="X1601" s="1120" t="s">
        <v>2</v>
      </c>
      <c r="Y1601" s="2089">
        <v>9509.2175999999999</v>
      </c>
      <c r="Z1601" s="61"/>
      <c r="AA1601" s="61"/>
      <c r="AB1601" s="61"/>
      <c r="AC1601" s="61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</row>
    <row r="1602" spans="1:86" s="20" customFormat="1" ht="26.65" hidden="1" customHeight="1" x14ac:dyDescent="0.2">
      <c r="A1602" s="1382"/>
      <c r="B1602" s="2241"/>
      <c r="C1602" s="1373"/>
      <c r="D1602" s="1375"/>
      <c r="E1602" s="1471"/>
      <c r="F1602" s="1375"/>
      <c r="G1602" s="1271"/>
      <c r="H1602" s="906"/>
      <c r="I1602" s="1120"/>
      <c r="J1602" s="1120"/>
      <c r="K1602" s="1120"/>
      <c r="L1602" s="1120"/>
      <c r="M1602" s="1120"/>
      <c r="N1602" s="1215"/>
      <c r="O1602" s="1215"/>
      <c r="P1602" s="1375"/>
      <c r="Q1602" s="892"/>
      <c r="R1602" s="1120"/>
      <c r="S1602" s="2090"/>
      <c r="T1602" s="1215"/>
      <c r="U1602" s="1215"/>
      <c r="V1602" s="1233"/>
      <c r="W1602" s="892">
        <v>3672</v>
      </c>
      <c r="X1602" s="1120" t="s">
        <v>3</v>
      </c>
      <c r="Y1602" s="2090"/>
      <c r="Z1602" s="61"/>
      <c r="AA1602" s="61"/>
      <c r="AB1602" s="61"/>
      <c r="AC1602" s="61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</row>
    <row r="1603" spans="1:86" s="12" customFormat="1" ht="27" customHeight="1" x14ac:dyDescent="0.25">
      <c r="A1603" s="1799" t="s">
        <v>14</v>
      </c>
      <c r="B1603" s="1800"/>
      <c r="C1603" s="1801"/>
      <c r="D1603" s="105"/>
      <c r="E1603" s="105"/>
      <c r="F1603" s="105"/>
      <c r="G1603" s="105"/>
      <c r="H1603" s="105"/>
      <c r="I1603" s="105"/>
      <c r="J1603" s="105"/>
      <c r="K1603" s="111"/>
      <c r="L1603" s="105"/>
      <c r="M1603" s="107"/>
      <c r="N1603" s="105"/>
      <c r="O1603" s="105"/>
      <c r="P1603" s="105"/>
      <c r="Q1603" s="113"/>
      <c r="R1603" s="105"/>
      <c r="S1603" s="200"/>
      <c r="T1603" s="108"/>
      <c r="U1603" s="108"/>
      <c r="V1603" s="105"/>
      <c r="W1603" s="100"/>
      <c r="X1603" s="99"/>
      <c r="Y1603" s="211"/>
      <c r="Z1603" s="105"/>
      <c r="AA1603" s="105"/>
      <c r="AB1603" s="105"/>
      <c r="AC1603" s="100">
        <f>AC1573+AC1588</f>
        <v>3.8490000000000002</v>
      </c>
      <c r="AD1603" s="99"/>
      <c r="AE1603" s="211">
        <f>AE1573+AE1588</f>
        <v>84330.344400000002</v>
      </c>
      <c r="AF1603" s="105"/>
      <c r="AG1603" s="105"/>
      <c r="AH1603" s="105"/>
      <c r="AI1603" s="113">
        <f>AI1573+AI1588</f>
        <v>8.9559999999999995</v>
      </c>
      <c r="AJ1603" s="105"/>
      <c r="AK1603" s="113">
        <f>AK1573+AK1588</f>
        <v>238894.09399999998</v>
      </c>
      <c r="AL1603" s="105"/>
      <c r="AM1603" s="105"/>
      <c r="AN1603" s="105"/>
      <c r="AO1603" s="105"/>
      <c r="AP1603" s="105"/>
      <c r="AQ1603" s="105"/>
      <c r="AR1603" s="105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1"/>
      <c r="BH1603" s="11"/>
      <c r="BI1603" s="11"/>
      <c r="BJ1603" s="11"/>
      <c r="BK1603" s="11"/>
      <c r="BL1603" s="11"/>
      <c r="BM1603" s="11"/>
      <c r="BN1603" s="11"/>
      <c r="BO1603" s="11"/>
      <c r="BP1603" s="11"/>
      <c r="BQ1603" s="11"/>
      <c r="BR1603" s="11"/>
      <c r="BS1603" s="11"/>
      <c r="BT1603" s="11"/>
      <c r="BU1603" s="11"/>
      <c r="BV1603" s="11"/>
      <c r="BW1603" s="11"/>
      <c r="BX1603" s="11"/>
      <c r="BY1603" s="11"/>
      <c r="BZ1603" s="11"/>
      <c r="CA1603" s="11"/>
      <c r="CB1603" s="11"/>
      <c r="CC1603" s="11"/>
      <c r="CD1603" s="11"/>
      <c r="CE1603" s="11"/>
      <c r="CF1603" s="11"/>
      <c r="CG1603" s="11"/>
      <c r="CH1603" s="11"/>
    </row>
    <row r="1604" spans="1:86" s="3" customFormat="1" ht="18.75" customHeight="1" x14ac:dyDescent="0.25">
      <c r="A1604" s="2232" t="s">
        <v>15</v>
      </c>
      <c r="B1604" s="2232"/>
      <c r="C1604" s="2232"/>
      <c r="D1604" s="2232"/>
      <c r="E1604" s="2232"/>
      <c r="F1604" s="2232"/>
      <c r="G1604" s="2232"/>
      <c r="H1604" s="2232"/>
      <c r="I1604" s="2232"/>
      <c r="J1604" s="1317" t="s">
        <v>5</v>
      </c>
      <c r="K1604" s="283"/>
      <c r="L1604" s="284" t="s">
        <v>2</v>
      </c>
      <c r="M1604" s="1310"/>
      <c r="N1604" s="285"/>
      <c r="O1604" s="285"/>
      <c r="P1604" s="1317" t="s">
        <v>5</v>
      </c>
      <c r="Q1604" s="422"/>
      <c r="R1604" s="284" t="s">
        <v>2</v>
      </c>
      <c r="S1604" s="1310"/>
      <c r="T1604" s="285"/>
      <c r="U1604" s="285"/>
      <c r="V1604" s="1317" t="s">
        <v>5</v>
      </c>
      <c r="W1604" s="422">
        <f>W1603</f>
        <v>0</v>
      </c>
      <c r="X1604" s="284" t="s">
        <v>2</v>
      </c>
      <c r="Y1604" s="1310">
        <f>Y1603</f>
        <v>0</v>
      </c>
      <c r="Z1604" s="285"/>
      <c r="AA1604" s="285"/>
      <c r="AB1604" s="1317" t="s">
        <v>5</v>
      </c>
      <c r="AC1604" s="422">
        <f>AC1603</f>
        <v>3.8490000000000002</v>
      </c>
      <c r="AD1604" s="284" t="s">
        <v>2</v>
      </c>
      <c r="AE1604" s="1310">
        <f>AE1603</f>
        <v>84330.344400000002</v>
      </c>
      <c r="AF1604" s="285"/>
      <c r="AG1604" s="285"/>
      <c r="AH1604" s="1317" t="s">
        <v>5</v>
      </c>
      <c r="AI1604" s="422">
        <f>AI1603</f>
        <v>8.9559999999999995</v>
      </c>
      <c r="AJ1604" s="284" t="s">
        <v>2</v>
      </c>
      <c r="AK1604" s="1310">
        <f>AK1573</f>
        <v>190369</v>
      </c>
      <c r="AL1604" s="285"/>
      <c r="AM1604" s="285"/>
      <c r="AN1604" s="1317" t="s">
        <v>5</v>
      </c>
      <c r="AO1604" s="283"/>
      <c r="AP1604" s="284" t="s">
        <v>2</v>
      </c>
      <c r="AQ1604" s="1310"/>
      <c r="AR1604" s="285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4"/>
      <c r="CD1604" s="4"/>
      <c r="CE1604" s="4"/>
      <c r="CF1604" s="4"/>
      <c r="CG1604" s="4"/>
      <c r="CH1604" s="4"/>
    </row>
    <row r="1605" spans="1:86" s="3" customFormat="1" ht="18.75" customHeight="1" x14ac:dyDescent="0.25">
      <c r="A1605" s="2232"/>
      <c r="B1605" s="2232"/>
      <c r="C1605" s="2232"/>
      <c r="D1605" s="2232"/>
      <c r="E1605" s="2232"/>
      <c r="F1605" s="2232"/>
      <c r="G1605" s="2232"/>
      <c r="H1605" s="2232"/>
      <c r="I1605" s="2232"/>
      <c r="J1605" s="1318"/>
      <c r="K1605" s="283"/>
      <c r="L1605" s="284" t="s">
        <v>4</v>
      </c>
      <c r="M1605" s="1311"/>
      <c r="N1605" s="285"/>
      <c r="O1605" s="285"/>
      <c r="P1605" s="1318"/>
      <c r="Q1605" s="422"/>
      <c r="R1605" s="284" t="s">
        <v>4</v>
      </c>
      <c r="S1605" s="1311"/>
      <c r="T1605" s="285"/>
      <c r="U1605" s="285"/>
      <c r="V1605" s="1318"/>
      <c r="W1605" s="422" t="e">
        <f>W1585+W1587+#REF!</f>
        <v>#REF!</v>
      </c>
      <c r="X1605" s="284" t="s">
        <v>4</v>
      </c>
      <c r="Y1605" s="1311"/>
      <c r="Z1605" s="285"/>
      <c r="AA1605" s="285"/>
      <c r="AB1605" s="1318"/>
      <c r="AC1605" s="283">
        <f>AC1585+AC1587+AC1577+AC1579+AC1581+AC1583+AC1575+AC1589</f>
        <v>25244.395</v>
      </c>
      <c r="AD1605" s="284" t="s">
        <v>4</v>
      </c>
      <c r="AE1605" s="1311"/>
      <c r="AF1605" s="285"/>
      <c r="AG1605" s="285"/>
      <c r="AH1605" s="1318"/>
      <c r="AI1605" s="283">
        <f>AI1585+AI1587+AI1592</f>
        <v>104721.93212669683</v>
      </c>
      <c r="AJ1605" s="284" t="s">
        <v>4</v>
      </c>
      <c r="AK1605" s="1311"/>
      <c r="AL1605" s="285"/>
      <c r="AM1605" s="285"/>
      <c r="AN1605" s="1318"/>
      <c r="AO1605" s="283"/>
      <c r="AP1605" s="284" t="s">
        <v>4</v>
      </c>
      <c r="AQ1605" s="1311"/>
      <c r="AR1605" s="285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4"/>
      <c r="CD1605" s="4"/>
      <c r="CE1605" s="4"/>
      <c r="CF1605" s="4"/>
      <c r="CG1605" s="4"/>
      <c r="CH1605" s="4"/>
    </row>
    <row r="1606" spans="1:86" s="3" customFormat="1" ht="16.7" customHeight="1" x14ac:dyDescent="0.25">
      <c r="A1606" s="2232"/>
      <c r="B1606" s="2232"/>
      <c r="C1606" s="2232"/>
      <c r="D1606" s="2232"/>
      <c r="E1606" s="2232"/>
      <c r="F1606" s="2232"/>
      <c r="G1606" s="2232"/>
      <c r="H1606" s="2232"/>
      <c r="I1606" s="2232"/>
      <c r="J1606" s="1317" t="s">
        <v>32</v>
      </c>
      <c r="K1606" s="283"/>
      <c r="L1606" s="284" t="s">
        <v>2</v>
      </c>
      <c r="M1606" s="1310"/>
      <c r="N1606" s="285"/>
      <c r="O1606" s="285"/>
      <c r="P1606" s="1317" t="s">
        <v>32</v>
      </c>
      <c r="Q1606" s="283"/>
      <c r="R1606" s="284" t="s">
        <v>2</v>
      </c>
      <c r="S1606" s="1310"/>
      <c r="T1606" s="285"/>
      <c r="U1606" s="285"/>
      <c r="V1606" s="1317" t="s">
        <v>32</v>
      </c>
      <c r="W1606" s="283"/>
      <c r="X1606" s="284" t="s">
        <v>2</v>
      </c>
      <c r="Y1606" s="1310"/>
      <c r="Z1606" s="285"/>
      <c r="AA1606" s="285"/>
      <c r="AB1606" s="1317" t="s">
        <v>32</v>
      </c>
      <c r="AC1606" s="283"/>
      <c r="AD1606" s="284" t="s">
        <v>2</v>
      </c>
      <c r="AE1606" s="1310"/>
      <c r="AF1606" s="285"/>
      <c r="AG1606" s="285"/>
      <c r="AH1606" s="1317" t="s">
        <v>32</v>
      </c>
      <c r="AI1606" s="283"/>
      <c r="AJ1606" s="284" t="s">
        <v>2</v>
      </c>
      <c r="AK1606" s="1310"/>
      <c r="AL1606" s="285"/>
      <c r="AM1606" s="285"/>
      <c r="AN1606" s="1317" t="s">
        <v>32</v>
      </c>
      <c r="AO1606" s="283"/>
      <c r="AP1606" s="284" t="s">
        <v>2</v>
      </c>
      <c r="AQ1606" s="1310"/>
      <c r="AR1606" s="285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  <c r="CG1606" s="4"/>
      <c r="CH1606" s="4"/>
    </row>
    <row r="1607" spans="1:86" s="3" customFormat="1" ht="16.7" customHeight="1" x14ac:dyDescent="0.25">
      <c r="A1607" s="2232"/>
      <c r="B1607" s="2232"/>
      <c r="C1607" s="2232"/>
      <c r="D1607" s="2232"/>
      <c r="E1607" s="2232"/>
      <c r="F1607" s="2232"/>
      <c r="G1607" s="2232"/>
      <c r="H1607" s="2232"/>
      <c r="I1607" s="2232"/>
      <c r="J1607" s="1318"/>
      <c r="K1607" s="283"/>
      <c r="L1607" s="284" t="s">
        <v>4</v>
      </c>
      <c r="M1607" s="1311"/>
      <c r="N1607" s="285"/>
      <c r="O1607" s="285"/>
      <c r="P1607" s="1318"/>
      <c r="Q1607" s="283"/>
      <c r="R1607" s="284" t="s">
        <v>4</v>
      </c>
      <c r="S1607" s="1311"/>
      <c r="T1607" s="285"/>
      <c r="U1607" s="285"/>
      <c r="V1607" s="1318"/>
      <c r="W1607" s="283"/>
      <c r="X1607" s="284" t="s">
        <v>4</v>
      </c>
      <c r="Y1607" s="1311"/>
      <c r="Z1607" s="285"/>
      <c r="AA1607" s="285"/>
      <c r="AB1607" s="1318"/>
      <c r="AC1607" s="283"/>
      <c r="AD1607" s="284" t="s">
        <v>4</v>
      </c>
      <c r="AE1607" s="1311"/>
      <c r="AF1607" s="285"/>
      <c r="AG1607" s="285"/>
      <c r="AH1607" s="1318"/>
      <c r="AI1607" s="283"/>
      <c r="AJ1607" s="284" t="s">
        <v>4</v>
      </c>
      <c r="AK1607" s="1311"/>
      <c r="AL1607" s="285"/>
      <c r="AM1607" s="285"/>
      <c r="AN1607" s="1318"/>
      <c r="AO1607" s="283"/>
      <c r="AP1607" s="284" t="s">
        <v>4</v>
      </c>
      <c r="AQ1607" s="1311"/>
      <c r="AR1607" s="285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  <c r="CG1607" s="4"/>
      <c r="CH1607" s="4"/>
    </row>
    <row r="1608" spans="1:86" s="3" customFormat="1" ht="16.7" customHeight="1" x14ac:dyDescent="0.25">
      <c r="A1608" s="2232"/>
      <c r="B1608" s="2232"/>
      <c r="C1608" s="2232"/>
      <c r="D1608" s="2232"/>
      <c r="E1608" s="2232"/>
      <c r="F1608" s="2232"/>
      <c r="G1608" s="2232"/>
      <c r="H1608" s="2232"/>
      <c r="I1608" s="2232"/>
      <c r="J1608" s="1317" t="s">
        <v>33</v>
      </c>
      <c r="K1608" s="283"/>
      <c r="L1608" s="284" t="s">
        <v>2</v>
      </c>
      <c r="M1608" s="1310"/>
      <c r="N1608" s="285"/>
      <c r="O1608" s="285"/>
      <c r="P1608" s="1317" t="s">
        <v>33</v>
      </c>
      <c r="Q1608" s="283"/>
      <c r="R1608" s="284" t="s">
        <v>2</v>
      </c>
      <c r="S1608" s="1310"/>
      <c r="T1608" s="285"/>
      <c r="U1608" s="285"/>
      <c r="V1608" s="1317" t="s">
        <v>33</v>
      </c>
      <c r="W1608" s="283"/>
      <c r="X1608" s="284" t="s">
        <v>2</v>
      </c>
      <c r="Y1608" s="1310"/>
      <c r="Z1608" s="285"/>
      <c r="AA1608" s="285"/>
      <c r="AB1608" s="1317" t="s">
        <v>33</v>
      </c>
      <c r="AC1608" s="283"/>
      <c r="AD1608" s="284" t="s">
        <v>2</v>
      </c>
      <c r="AE1608" s="1310"/>
      <c r="AF1608" s="285"/>
      <c r="AG1608" s="285"/>
      <c r="AH1608" s="1317" t="s">
        <v>33</v>
      </c>
      <c r="AI1608" s="283"/>
      <c r="AJ1608" s="284" t="s">
        <v>2</v>
      </c>
      <c r="AK1608" s="1310"/>
      <c r="AL1608" s="285"/>
      <c r="AM1608" s="285"/>
      <c r="AN1608" s="1317" t="s">
        <v>33</v>
      </c>
      <c r="AO1608" s="283"/>
      <c r="AP1608" s="284" t="s">
        <v>2</v>
      </c>
      <c r="AQ1608" s="1310"/>
      <c r="AR1608" s="285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4"/>
      <c r="CD1608" s="4"/>
      <c r="CE1608" s="4"/>
      <c r="CF1608" s="4"/>
      <c r="CG1608" s="4"/>
      <c r="CH1608" s="4"/>
    </row>
    <row r="1609" spans="1:86" s="3" customFormat="1" ht="16.7" customHeight="1" x14ac:dyDescent="0.25">
      <c r="A1609" s="2232"/>
      <c r="B1609" s="2232"/>
      <c r="C1609" s="2232"/>
      <c r="D1609" s="2232"/>
      <c r="E1609" s="2232"/>
      <c r="F1609" s="2232"/>
      <c r="G1609" s="2232"/>
      <c r="H1609" s="2232"/>
      <c r="I1609" s="2232"/>
      <c r="J1609" s="1318"/>
      <c r="K1609" s="283"/>
      <c r="L1609" s="284" t="s">
        <v>4</v>
      </c>
      <c r="M1609" s="1311"/>
      <c r="N1609" s="285"/>
      <c r="O1609" s="285"/>
      <c r="P1609" s="1318"/>
      <c r="Q1609" s="283"/>
      <c r="R1609" s="284" t="s">
        <v>4</v>
      </c>
      <c r="S1609" s="1311"/>
      <c r="T1609" s="285"/>
      <c r="U1609" s="285"/>
      <c r="V1609" s="1318"/>
      <c r="W1609" s="283"/>
      <c r="X1609" s="284" t="s">
        <v>4</v>
      </c>
      <c r="Y1609" s="1311"/>
      <c r="Z1609" s="285"/>
      <c r="AA1609" s="285"/>
      <c r="AB1609" s="1318"/>
      <c r="AC1609" s="283"/>
      <c r="AD1609" s="284" t="s">
        <v>4</v>
      </c>
      <c r="AE1609" s="1311"/>
      <c r="AF1609" s="285"/>
      <c r="AG1609" s="285"/>
      <c r="AH1609" s="1318"/>
      <c r="AI1609" s="283"/>
      <c r="AJ1609" s="284" t="s">
        <v>4</v>
      </c>
      <c r="AK1609" s="1311"/>
      <c r="AL1609" s="285"/>
      <c r="AM1609" s="285"/>
      <c r="AN1609" s="1318"/>
      <c r="AO1609" s="283"/>
      <c r="AP1609" s="284" t="s">
        <v>4</v>
      </c>
      <c r="AQ1609" s="1311"/>
      <c r="AR1609" s="285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4"/>
      <c r="CD1609" s="4"/>
      <c r="CE1609" s="4"/>
      <c r="CF1609" s="4"/>
      <c r="CG1609" s="4"/>
      <c r="CH1609" s="4"/>
    </row>
    <row r="1610" spans="1:86" s="3" customFormat="1" ht="16.7" customHeight="1" x14ac:dyDescent="0.25">
      <c r="A1610" s="2232"/>
      <c r="B1610" s="2232"/>
      <c r="C1610" s="2232"/>
      <c r="D1610" s="2232"/>
      <c r="E1610" s="2232"/>
      <c r="F1610" s="2232"/>
      <c r="G1610" s="2232"/>
      <c r="H1610" s="2232"/>
      <c r="I1610" s="2232"/>
      <c r="J1610" s="1317" t="s">
        <v>34</v>
      </c>
      <c r="K1610" s="283"/>
      <c r="L1610" s="284" t="s">
        <v>2</v>
      </c>
      <c r="M1610" s="1310"/>
      <c r="N1610" s="285"/>
      <c r="O1610" s="285"/>
      <c r="P1610" s="1317" t="s">
        <v>34</v>
      </c>
      <c r="Q1610" s="283"/>
      <c r="R1610" s="284" t="s">
        <v>2</v>
      </c>
      <c r="S1610" s="1310"/>
      <c r="T1610" s="285"/>
      <c r="U1610" s="285"/>
      <c r="V1610" s="1317" t="s">
        <v>34</v>
      </c>
      <c r="W1610" s="283"/>
      <c r="X1610" s="284" t="s">
        <v>2</v>
      </c>
      <c r="Y1610" s="1310"/>
      <c r="Z1610" s="285"/>
      <c r="AA1610" s="285"/>
      <c r="AB1610" s="1317" t="s">
        <v>34</v>
      </c>
      <c r="AC1610" s="283"/>
      <c r="AD1610" s="284" t="s">
        <v>2</v>
      </c>
      <c r="AE1610" s="1310"/>
      <c r="AF1610" s="285"/>
      <c r="AG1610" s="285"/>
      <c r="AH1610" s="1317" t="s">
        <v>34</v>
      </c>
      <c r="AI1610" s="283"/>
      <c r="AJ1610" s="284" t="s">
        <v>2</v>
      </c>
      <c r="AK1610" s="1310"/>
      <c r="AL1610" s="285"/>
      <c r="AM1610" s="285"/>
      <c r="AN1610" s="1317" t="s">
        <v>34</v>
      </c>
      <c r="AO1610" s="283"/>
      <c r="AP1610" s="284" t="s">
        <v>2</v>
      </c>
      <c r="AQ1610" s="1310"/>
      <c r="AR1610" s="285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4"/>
      <c r="CD1610" s="4"/>
      <c r="CE1610" s="4"/>
      <c r="CF1610" s="4"/>
      <c r="CG1610" s="4"/>
      <c r="CH1610" s="4"/>
    </row>
    <row r="1611" spans="1:86" s="3" customFormat="1" ht="16.7" customHeight="1" x14ac:dyDescent="0.25">
      <c r="A1611" s="2232"/>
      <c r="B1611" s="2232"/>
      <c r="C1611" s="2232"/>
      <c r="D1611" s="2232"/>
      <c r="E1611" s="2232"/>
      <c r="F1611" s="2232"/>
      <c r="G1611" s="2232"/>
      <c r="H1611" s="2232"/>
      <c r="I1611" s="2232"/>
      <c r="J1611" s="1318"/>
      <c r="K1611" s="283"/>
      <c r="L1611" s="284" t="s">
        <v>4</v>
      </c>
      <c r="M1611" s="1311"/>
      <c r="N1611" s="285"/>
      <c r="O1611" s="285"/>
      <c r="P1611" s="1318"/>
      <c r="Q1611" s="283"/>
      <c r="R1611" s="284" t="s">
        <v>4</v>
      </c>
      <c r="S1611" s="1311"/>
      <c r="T1611" s="285"/>
      <c r="U1611" s="285"/>
      <c r="V1611" s="1318"/>
      <c r="W1611" s="283"/>
      <c r="X1611" s="284" t="s">
        <v>4</v>
      </c>
      <c r="Y1611" s="1311"/>
      <c r="Z1611" s="285"/>
      <c r="AA1611" s="285"/>
      <c r="AB1611" s="1318"/>
      <c r="AC1611" s="283"/>
      <c r="AD1611" s="284" t="s">
        <v>4</v>
      </c>
      <c r="AE1611" s="1311"/>
      <c r="AF1611" s="285"/>
      <c r="AG1611" s="285"/>
      <c r="AH1611" s="1318"/>
      <c r="AI1611" s="283"/>
      <c r="AJ1611" s="284" t="s">
        <v>4</v>
      </c>
      <c r="AK1611" s="1311"/>
      <c r="AL1611" s="285"/>
      <c r="AM1611" s="285"/>
      <c r="AN1611" s="1318"/>
      <c r="AO1611" s="283"/>
      <c r="AP1611" s="284" t="s">
        <v>4</v>
      </c>
      <c r="AQ1611" s="1311"/>
      <c r="AR1611" s="285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  <c r="BV1611" s="4"/>
      <c r="BW1611" s="4"/>
      <c r="BX1611" s="4"/>
      <c r="BY1611" s="4"/>
      <c r="BZ1611" s="4"/>
      <c r="CA1611" s="4"/>
      <c r="CB1611" s="4"/>
      <c r="CC1611" s="4"/>
      <c r="CD1611" s="4"/>
      <c r="CE1611" s="4"/>
      <c r="CF1611" s="4"/>
      <c r="CG1611" s="4"/>
      <c r="CH1611" s="4"/>
    </row>
    <row r="1612" spans="1:86" s="3" customFormat="1" ht="16.7" customHeight="1" x14ac:dyDescent="0.25">
      <c r="A1612" s="2232"/>
      <c r="B1612" s="2232"/>
      <c r="C1612" s="2232"/>
      <c r="D1612" s="2232"/>
      <c r="E1612" s="2232"/>
      <c r="F1612" s="2232"/>
      <c r="G1612" s="2232"/>
      <c r="H1612" s="2232"/>
      <c r="I1612" s="2232"/>
      <c r="J1612" s="1317" t="s">
        <v>1038</v>
      </c>
      <c r="K1612" s="283"/>
      <c r="L1612" s="284" t="s">
        <v>1044</v>
      </c>
      <c r="M1612" s="1310"/>
      <c r="N1612" s="285"/>
      <c r="O1612" s="285"/>
      <c r="P1612" s="1317" t="s">
        <v>1038</v>
      </c>
      <c r="Q1612" s="283"/>
      <c r="R1612" s="284" t="s">
        <v>1044</v>
      </c>
      <c r="S1612" s="1310"/>
      <c r="T1612" s="285"/>
      <c r="U1612" s="285"/>
      <c r="V1612" s="1317" t="s">
        <v>1038</v>
      </c>
      <c r="W1612" s="283"/>
      <c r="X1612" s="284" t="s">
        <v>1044</v>
      </c>
      <c r="Y1612" s="1310"/>
      <c r="Z1612" s="285"/>
      <c r="AA1612" s="285"/>
      <c r="AB1612" s="1317" t="s">
        <v>1038</v>
      </c>
      <c r="AC1612" s="283"/>
      <c r="AD1612" s="284" t="s">
        <v>1044</v>
      </c>
      <c r="AE1612" s="1310"/>
      <c r="AF1612" s="285"/>
      <c r="AG1612" s="285"/>
      <c r="AH1612" s="1317" t="s">
        <v>1038</v>
      </c>
      <c r="AI1612" s="283"/>
      <c r="AJ1612" s="284" t="s">
        <v>1044</v>
      </c>
      <c r="AK1612" s="1310"/>
      <c r="AL1612" s="285"/>
      <c r="AM1612" s="285"/>
      <c r="AN1612" s="1317" t="s">
        <v>1038</v>
      </c>
      <c r="AO1612" s="283"/>
      <c r="AP1612" s="284" t="s">
        <v>1044</v>
      </c>
      <c r="AQ1612" s="1310"/>
      <c r="AR1612" s="285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  <c r="BV1612" s="4"/>
      <c r="BW1612" s="4"/>
      <c r="BX1612" s="4"/>
      <c r="BY1612" s="4"/>
      <c r="BZ1612" s="4"/>
      <c r="CA1612" s="4"/>
      <c r="CB1612" s="4"/>
      <c r="CC1612" s="4"/>
      <c r="CD1612" s="4"/>
      <c r="CE1612" s="4"/>
      <c r="CF1612" s="4"/>
      <c r="CG1612" s="4"/>
      <c r="CH1612" s="4"/>
    </row>
    <row r="1613" spans="1:86" s="3" customFormat="1" ht="16.7" customHeight="1" x14ac:dyDescent="0.25">
      <c r="A1613" s="2232"/>
      <c r="B1613" s="2232"/>
      <c r="C1613" s="2232"/>
      <c r="D1613" s="2232"/>
      <c r="E1613" s="2232"/>
      <c r="F1613" s="2232"/>
      <c r="G1613" s="2232"/>
      <c r="H1613" s="2232"/>
      <c r="I1613" s="2232"/>
      <c r="J1613" s="1326"/>
      <c r="K1613" s="283"/>
      <c r="L1613" s="284" t="s">
        <v>2</v>
      </c>
      <c r="M1613" s="1311"/>
      <c r="N1613" s="285"/>
      <c r="O1613" s="285"/>
      <c r="P1613" s="1326"/>
      <c r="Q1613" s="283"/>
      <c r="R1613" s="284" t="s">
        <v>2</v>
      </c>
      <c r="S1613" s="1311"/>
      <c r="T1613" s="285"/>
      <c r="U1613" s="285"/>
      <c r="V1613" s="1326"/>
      <c r="W1613" s="283"/>
      <c r="X1613" s="284" t="s">
        <v>2</v>
      </c>
      <c r="Y1613" s="1311"/>
      <c r="Z1613" s="285"/>
      <c r="AA1613" s="285"/>
      <c r="AB1613" s="1326"/>
      <c r="AC1613" s="283"/>
      <c r="AD1613" s="284" t="s">
        <v>2</v>
      </c>
      <c r="AE1613" s="1311"/>
      <c r="AF1613" s="285"/>
      <c r="AG1613" s="285"/>
      <c r="AH1613" s="1326"/>
      <c r="AI1613" s="283"/>
      <c r="AJ1613" s="284" t="s">
        <v>2</v>
      </c>
      <c r="AK1613" s="1311"/>
      <c r="AL1613" s="285"/>
      <c r="AM1613" s="285"/>
      <c r="AN1613" s="1326"/>
      <c r="AO1613" s="283"/>
      <c r="AP1613" s="284" t="s">
        <v>2</v>
      </c>
      <c r="AQ1613" s="1311"/>
      <c r="AR1613" s="285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  <c r="BN1613" s="4"/>
      <c r="BO1613" s="4"/>
      <c r="BP1613" s="4"/>
      <c r="BQ1613" s="4"/>
      <c r="BR1613" s="4"/>
      <c r="BS1613" s="4"/>
      <c r="BT1613" s="4"/>
      <c r="BU1613" s="4"/>
      <c r="BV1613" s="4"/>
      <c r="BW1613" s="4"/>
      <c r="BX1613" s="4"/>
      <c r="BY1613" s="4"/>
      <c r="BZ1613" s="4"/>
      <c r="CA1613" s="4"/>
      <c r="CB1613" s="4"/>
      <c r="CC1613" s="4"/>
      <c r="CD1613" s="4"/>
      <c r="CE1613" s="4"/>
      <c r="CF1613" s="4"/>
      <c r="CG1613" s="4"/>
      <c r="CH1613" s="4"/>
    </row>
    <row r="1614" spans="1:86" s="3" customFormat="1" ht="16.7" customHeight="1" x14ac:dyDescent="0.25">
      <c r="A1614" s="2232"/>
      <c r="B1614" s="2232"/>
      <c r="C1614" s="2232"/>
      <c r="D1614" s="2232"/>
      <c r="E1614" s="2232"/>
      <c r="F1614" s="2232"/>
      <c r="G1614" s="2232"/>
      <c r="H1614" s="2232"/>
      <c r="I1614" s="2232"/>
      <c r="J1614" s="1318"/>
      <c r="K1614" s="283"/>
      <c r="L1614" s="284" t="s">
        <v>4</v>
      </c>
      <c r="M1614" s="1312"/>
      <c r="N1614" s="285"/>
      <c r="O1614" s="285"/>
      <c r="P1614" s="1318"/>
      <c r="Q1614" s="283"/>
      <c r="R1614" s="284" t="s">
        <v>4</v>
      </c>
      <c r="S1614" s="1312"/>
      <c r="T1614" s="285"/>
      <c r="U1614" s="285"/>
      <c r="V1614" s="1318"/>
      <c r="W1614" s="283"/>
      <c r="X1614" s="284" t="s">
        <v>4</v>
      </c>
      <c r="Y1614" s="1312"/>
      <c r="Z1614" s="285"/>
      <c r="AA1614" s="285"/>
      <c r="AB1614" s="1318"/>
      <c r="AC1614" s="283"/>
      <c r="AD1614" s="284" t="s">
        <v>4</v>
      </c>
      <c r="AE1614" s="1312"/>
      <c r="AF1614" s="285"/>
      <c r="AG1614" s="285"/>
      <c r="AH1614" s="1318"/>
      <c r="AI1614" s="283"/>
      <c r="AJ1614" s="284" t="s">
        <v>4</v>
      </c>
      <c r="AK1614" s="1312"/>
      <c r="AL1614" s="285"/>
      <c r="AM1614" s="285"/>
      <c r="AN1614" s="1318"/>
      <c r="AO1614" s="283"/>
      <c r="AP1614" s="284" t="s">
        <v>4</v>
      </c>
      <c r="AQ1614" s="1312"/>
      <c r="AR1614" s="285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4"/>
      <c r="BR1614" s="4"/>
      <c r="BS1614" s="4"/>
      <c r="BT1614" s="4"/>
      <c r="BU1614" s="4"/>
      <c r="BV1614" s="4"/>
      <c r="BW1614" s="4"/>
      <c r="BX1614" s="4"/>
      <c r="BY1614" s="4"/>
      <c r="BZ1614" s="4"/>
      <c r="CA1614" s="4"/>
      <c r="CB1614" s="4"/>
      <c r="CC1614" s="4"/>
      <c r="CD1614" s="4"/>
      <c r="CE1614" s="4"/>
      <c r="CF1614" s="4"/>
      <c r="CG1614" s="4"/>
      <c r="CH1614" s="4"/>
    </row>
    <row r="1615" spans="1:86" s="3" customFormat="1" ht="16.7" customHeight="1" x14ac:dyDescent="0.25">
      <c r="A1615" s="2232"/>
      <c r="B1615" s="2232"/>
      <c r="C1615" s="2232"/>
      <c r="D1615" s="2232"/>
      <c r="E1615" s="2232"/>
      <c r="F1615" s="2232"/>
      <c r="G1615" s="2232"/>
      <c r="H1615" s="2232"/>
      <c r="I1615" s="2232"/>
      <c r="J1615" s="1317" t="s">
        <v>1037</v>
      </c>
      <c r="K1615" s="283"/>
      <c r="L1615" s="284" t="s">
        <v>1044</v>
      </c>
      <c r="M1615" s="1310"/>
      <c r="N1615" s="285"/>
      <c r="O1615" s="285"/>
      <c r="P1615" s="1317" t="s">
        <v>1037</v>
      </c>
      <c r="Q1615" s="283"/>
      <c r="R1615" s="284" t="s">
        <v>1044</v>
      </c>
      <c r="S1615" s="1310"/>
      <c r="T1615" s="285"/>
      <c r="U1615" s="285"/>
      <c r="V1615" s="1317" t="s">
        <v>1037</v>
      </c>
      <c r="W1615" s="283"/>
      <c r="X1615" s="284" t="s">
        <v>1044</v>
      </c>
      <c r="Y1615" s="1310"/>
      <c r="Z1615" s="285"/>
      <c r="AA1615" s="285"/>
      <c r="AB1615" s="1317" t="s">
        <v>1037</v>
      </c>
      <c r="AC1615" s="283"/>
      <c r="AD1615" s="284" t="s">
        <v>1044</v>
      </c>
      <c r="AE1615" s="1310"/>
      <c r="AF1615" s="285"/>
      <c r="AG1615" s="285"/>
      <c r="AH1615" s="1317" t="s">
        <v>1037</v>
      </c>
      <c r="AI1615" s="283"/>
      <c r="AJ1615" s="284" t="s">
        <v>1044</v>
      </c>
      <c r="AK1615" s="1310"/>
      <c r="AL1615" s="285"/>
      <c r="AM1615" s="285"/>
      <c r="AN1615" s="1317" t="s">
        <v>1037</v>
      </c>
      <c r="AO1615" s="283"/>
      <c r="AP1615" s="284" t="s">
        <v>1044</v>
      </c>
      <c r="AQ1615" s="1310"/>
      <c r="AR1615" s="285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  <c r="BV1615" s="4"/>
      <c r="BW1615" s="4"/>
      <c r="BX1615" s="4"/>
      <c r="BY1615" s="4"/>
      <c r="BZ1615" s="4"/>
      <c r="CA1615" s="4"/>
      <c r="CB1615" s="4"/>
      <c r="CC1615" s="4"/>
      <c r="CD1615" s="4"/>
      <c r="CE1615" s="4"/>
      <c r="CF1615" s="4"/>
      <c r="CG1615" s="4"/>
      <c r="CH1615" s="4"/>
    </row>
    <row r="1616" spans="1:86" s="3" customFormat="1" ht="16.7" customHeight="1" x14ac:dyDescent="0.25">
      <c r="A1616" s="2232"/>
      <c r="B1616" s="2232"/>
      <c r="C1616" s="2232"/>
      <c r="D1616" s="2232"/>
      <c r="E1616" s="2232"/>
      <c r="F1616" s="2232"/>
      <c r="G1616" s="2232"/>
      <c r="H1616" s="2232"/>
      <c r="I1616" s="2232"/>
      <c r="J1616" s="1326"/>
      <c r="K1616" s="283"/>
      <c r="L1616" s="284" t="s">
        <v>2</v>
      </c>
      <c r="M1616" s="1311"/>
      <c r="N1616" s="285"/>
      <c r="O1616" s="285"/>
      <c r="P1616" s="1326"/>
      <c r="Q1616" s="283"/>
      <c r="R1616" s="284" t="s">
        <v>2</v>
      </c>
      <c r="S1616" s="1311"/>
      <c r="T1616" s="285"/>
      <c r="U1616" s="285"/>
      <c r="V1616" s="1326"/>
      <c r="W1616" s="283"/>
      <c r="X1616" s="284" t="s">
        <v>2</v>
      </c>
      <c r="Y1616" s="1311"/>
      <c r="Z1616" s="285"/>
      <c r="AA1616" s="285"/>
      <c r="AB1616" s="1326"/>
      <c r="AC1616" s="283"/>
      <c r="AD1616" s="284" t="s">
        <v>2</v>
      </c>
      <c r="AE1616" s="1311"/>
      <c r="AF1616" s="285"/>
      <c r="AG1616" s="285"/>
      <c r="AH1616" s="1326"/>
      <c r="AI1616" s="283"/>
      <c r="AJ1616" s="284" t="s">
        <v>2</v>
      </c>
      <c r="AK1616" s="1311"/>
      <c r="AL1616" s="285"/>
      <c r="AM1616" s="285"/>
      <c r="AN1616" s="1326"/>
      <c r="AO1616" s="283"/>
      <c r="AP1616" s="284" t="s">
        <v>2</v>
      </c>
      <c r="AQ1616" s="1311"/>
      <c r="AR1616" s="285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  <c r="BV1616" s="4"/>
      <c r="BW1616" s="4"/>
      <c r="BX1616" s="4"/>
      <c r="BY1616" s="4"/>
      <c r="BZ1616" s="4"/>
      <c r="CA1616" s="4"/>
      <c r="CB1616" s="4"/>
      <c r="CC1616" s="4"/>
      <c r="CD1616" s="4"/>
      <c r="CE1616" s="4"/>
      <c r="CF1616" s="4"/>
      <c r="CG1616" s="4"/>
      <c r="CH1616" s="4"/>
    </row>
    <row r="1617" spans="1:86" s="3" customFormat="1" ht="16.7" customHeight="1" x14ac:dyDescent="0.25">
      <c r="A1617" s="2232"/>
      <c r="B1617" s="2232"/>
      <c r="C1617" s="2232"/>
      <c r="D1617" s="2232"/>
      <c r="E1617" s="2232"/>
      <c r="F1617" s="2232"/>
      <c r="G1617" s="2232"/>
      <c r="H1617" s="2232"/>
      <c r="I1617" s="2232"/>
      <c r="J1617" s="1318"/>
      <c r="K1617" s="283"/>
      <c r="L1617" s="284" t="s">
        <v>4</v>
      </c>
      <c r="M1617" s="1312"/>
      <c r="N1617" s="285"/>
      <c r="O1617" s="285"/>
      <c r="P1617" s="1318"/>
      <c r="Q1617" s="283"/>
      <c r="R1617" s="284" t="s">
        <v>4</v>
      </c>
      <c r="S1617" s="1312"/>
      <c r="T1617" s="285"/>
      <c r="U1617" s="285"/>
      <c r="V1617" s="1318"/>
      <c r="W1617" s="283"/>
      <c r="X1617" s="284" t="s">
        <v>4</v>
      </c>
      <c r="Y1617" s="1312"/>
      <c r="Z1617" s="285"/>
      <c r="AA1617" s="285"/>
      <c r="AB1617" s="1318"/>
      <c r="AC1617" s="283"/>
      <c r="AD1617" s="284" t="s">
        <v>4</v>
      </c>
      <c r="AE1617" s="1312"/>
      <c r="AF1617" s="285"/>
      <c r="AG1617" s="285"/>
      <c r="AH1617" s="1318"/>
      <c r="AI1617" s="283"/>
      <c r="AJ1617" s="284" t="s">
        <v>4</v>
      </c>
      <c r="AK1617" s="1312"/>
      <c r="AL1617" s="285"/>
      <c r="AM1617" s="285"/>
      <c r="AN1617" s="1318"/>
      <c r="AO1617" s="283"/>
      <c r="AP1617" s="284" t="s">
        <v>4</v>
      </c>
      <c r="AQ1617" s="1312"/>
      <c r="AR1617" s="285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4"/>
      <c r="CD1617" s="4"/>
      <c r="CE1617" s="4"/>
      <c r="CF1617" s="4"/>
      <c r="CG1617" s="4"/>
      <c r="CH1617" s="4"/>
    </row>
    <row r="1618" spans="1:86" s="3" customFormat="1" ht="16.7" customHeight="1" x14ac:dyDescent="0.25">
      <c r="A1618" s="2232"/>
      <c r="B1618" s="2232"/>
      <c r="C1618" s="2232"/>
      <c r="D1618" s="2232"/>
      <c r="E1618" s="2232"/>
      <c r="F1618" s="2232"/>
      <c r="G1618" s="2232"/>
      <c r="H1618" s="2232"/>
      <c r="I1618" s="2232"/>
      <c r="J1618" s="1317" t="s">
        <v>1039</v>
      </c>
      <c r="K1618" s="283"/>
      <c r="L1618" s="284" t="s">
        <v>1044</v>
      </c>
      <c r="M1618" s="1310"/>
      <c r="N1618" s="285"/>
      <c r="O1618" s="285"/>
      <c r="P1618" s="1317" t="s">
        <v>1039</v>
      </c>
      <c r="Q1618" s="283"/>
      <c r="R1618" s="284" t="s">
        <v>1044</v>
      </c>
      <c r="S1618" s="1310"/>
      <c r="T1618" s="285"/>
      <c r="U1618" s="285"/>
      <c r="V1618" s="1317" t="s">
        <v>1039</v>
      </c>
      <c r="W1618" s="283"/>
      <c r="X1618" s="284" t="s">
        <v>1044</v>
      </c>
      <c r="Y1618" s="1310"/>
      <c r="Z1618" s="285"/>
      <c r="AA1618" s="285"/>
      <c r="AB1618" s="1317" t="s">
        <v>1039</v>
      </c>
      <c r="AC1618" s="283"/>
      <c r="AD1618" s="284" t="s">
        <v>1044</v>
      </c>
      <c r="AE1618" s="1310"/>
      <c r="AF1618" s="285"/>
      <c r="AG1618" s="285"/>
      <c r="AH1618" s="1317" t="s">
        <v>1039</v>
      </c>
      <c r="AI1618" s="283"/>
      <c r="AJ1618" s="284" t="s">
        <v>1044</v>
      </c>
      <c r="AK1618" s="1310"/>
      <c r="AL1618" s="285"/>
      <c r="AM1618" s="285"/>
      <c r="AN1618" s="1317" t="s">
        <v>1039</v>
      </c>
      <c r="AO1618" s="283"/>
      <c r="AP1618" s="284" t="s">
        <v>1044</v>
      </c>
      <c r="AQ1618" s="1310"/>
      <c r="AR1618" s="285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4"/>
      <c r="CD1618" s="4"/>
      <c r="CE1618" s="4"/>
      <c r="CF1618" s="4"/>
      <c r="CG1618" s="4"/>
      <c r="CH1618" s="4"/>
    </row>
    <row r="1619" spans="1:86" s="3" customFormat="1" ht="16.7" customHeight="1" x14ac:dyDescent="0.25">
      <c r="A1619" s="2232"/>
      <c r="B1619" s="2232"/>
      <c r="C1619" s="2232"/>
      <c r="D1619" s="2232"/>
      <c r="E1619" s="2232"/>
      <c r="F1619" s="2232"/>
      <c r="G1619" s="2232"/>
      <c r="H1619" s="2232"/>
      <c r="I1619" s="2232"/>
      <c r="J1619" s="1326"/>
      <c r="K1619" s="283"/>
      <c r="L1619" s="284" t="s">
        <v>2</v>
      </c>
      <c r="M1619" s="1311"/>
      <c r="N1619" s="286"/>
      <c r="O1619" s="286"/>
      <c r="P1619" s="1326"/>
      <c r="Q1619" s="283"/>
      <c r="R1619" s="284" t="s">
        <v>2</v>
      </c>
      <c r="S1619" s="1311"/>
      <c r="T1619" s="286"/>
      <c r="U1619" s="286"/>
      <c r="V1619" s="1326"/>
      <c r="W1619" s="283"/>
      <c r="X1619" s="284" t="s">
        <v>2</v>
      </c>
      <c r="Y1619" s="1311"/>
      <c r="Z1619" s="286"/>
      <c r="AA1619" s="286"/>
      <c r="AB1619" s="1326"/>
      <c r="AC1619" s="283"/>
      <c r="AD1619" s="284" t="s">
        <v>2</v>
      </c>
      <c r="AE1619" s="1311"/>
      <c r="AF1619" s="286"/>
      <c r="AG1619" s="286"/>
      <c r="AH1619" s="1326"/>
      <c r="AI1619" s="283"/>
      <c r="AJ1619" s="284" t="s">
        <v>2</v>
      </c>
      <c r="AK1619" s="1311"/>
      <c r="AL1619" s="286"/>
      <c r="AM1619" s="286"/>
      <c r="AN1619" s="1326"/>
      <c r="AO1619" s="283"/>
      <c r="AP1619" s="284" t="s">
        <v>2</v>
      </c>
      <c r="AQ1619" s="1311"/>
      <c r="AR1619" s="286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4"/>
      <c r="CD1619" s="4"/>
      <c r="CE1619" s="4"/>
      <c r="CF1619" s="4"/>
      <c r="CG1619" s="4"/>
      <c r="CH1619" s="4"/>
    </row>
    <row r="1620" spans="1:86" s="3" customFormat="1" ht="16.7" customHeight="1" x14ac:dyDescent="0.25">
      <c r="A1620" s="2232"/>
      <c r="B1620" s="2232"/>
      <c r="C1620" s="2232"/>
      <c r="D1620" s="2232"/>
      <c r="E1620" s="2232"/>
      <c r="F1620" s="2232"/>
      <c r="G1620" s="2232"/>
      <c r="H1620" s="2232"/>
      <c r="I1620" s="2232"/>
      <c r="J1620" s="1318"/>
      <c r="K1620" s="283"/>
      <c r="L1620" s="284" t="s">
        <v>4</v>
      </c>
      <c r="M1620" s="1312"/>
      <c r="N1620" s="286"/>
      <c r="O1620" s="286"/>
      <c r="P1620" s="1318"/>
      <c r="Q1620" s="283"/>
      <c r="R1620" s="284" t="s">
        <v>4</v>
      </c>
      <c r="S1620" s="1312"/>
      <c r="T1620" s="286"/>
      <c r="U1620" s="286"/>
      <c r="V1620" s="1318"/>
      <c r="W1620" s="283"/>
      <c r="X1620" s="284" t="s">
        <v>4</v>
      </c>
      <c r="Y1620" s="1312"/>
      <c r="Z1620" s="286"/>
      <c r="AA1620" s="286"/>
      <c r="AB1620" s="1318"/>
      <c r="AC1620" s="283"/>
      <c r="AD1620" s="284" t="s">
        <v>4</v>
      </c>
      <c r="AE1620" s="1312"/>
      <c r="AF1620" s="286"/>
      <c r="AG1620" s="286"/>
      <c r="AH1620" s="1318"/>
      <c r="AI1620" s="283"/>
      <c r="AJ1620" s="284" t="s">
        <v>4</v>
      </c>
      <c r="AK1620" s="1312"/>
      <c r="AL1620" s="286"/>
      <c r="AM1620" s="286"/>
      <c r="AN1620" s="1318"/>
      <c r="AO1620" s="283"/>
      <c r="AP1620" s="284" t="s">
        <v>4</v>
      </c>
      <c r="AQ1620" s="1312"/>
      <c r="AR1620" s="286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4"/>
      <c r="BR1620" s="4"/>
      <c r="BS1620" s="4"/>
      <c r="BT1620" s="4"/>
      <c r="BU1620" s="4"/>
      <c r="BV1620" s="4"/>
      <c r="BW1620" s="4"/>
      <c r="BX1620" s="4"/>
      <c r="BY1620" s="4"/>
      <c r="BZ1620" s="4"/>
      <c r="CA1620" s="4"/>
      <c r="CB1620" s="4"/>
      <c r="CC1620" s="4"/>
      <c r="CD1620" s="4"/>
      <c r="CE1620" s="4"/>
      <c r="CF1620" s="4"/>
      <c r="CG1620" s="4"/>
      <c r="CH1620" s="4"/>
    </row>
    <row r="1621" spans="1:86" s="3" customFormat="1" ht="16.7" customHeight="1" x14ac:dyDescent="0.25">
      <c r="A1621" s="2232"/>
      <c r="B1621" s="2232"/>
      <c r="C1621" s="2232"/>
      <c r="D1621" s="2232"/>
      <c r="E1621" s="2232"/>
      <c r="F1621" s="2232"/>
      <c r="G1621" s="2232"/>
      <c r="H1621" s="2232"/>
      <c r="I1621" s="2232"/>
      <c r="J1621" s="1317" t="s">
        <v>1040</v>
      </c>
      <c r="K1621" s="283"/>
      <c r="L1621" s="284" t="s">
        <v>1044</v>
      </c>
      <c r="M1621" s="1310"/>
      <c r="N1621" s="286"/>
      <c r="O1621" s="286"/>
      <c r="P1621" s="1317" t="s">
        <v>1040</v>
      </c>
      <c r="Q1621" s="283"/>
      <c r="R1621" s="284" t="s">
        <v>1044</v>
      </c>
      <c r="S1621" s="1310"/>
      <c r="T1621" s="286"/>
      <c r="U1621" s="286"/>
      <c r="V1621" s="1317" t="s">
        <v>1040</v>
      </c>
      <c r="W1621" s="283"/>
      <c r="X1621" s="284" t="s">
        <v>1044</v>
      </c>
      <c r="Y1621" s="1310"/>
      <c r="Z1621" s="286"/>
      <c r="AA1621" s="286"/>
      <c r="AB1621" s="1317" t="s">
        <v>1040</v>
      </c>
      <c r="AC1621" s="283"/>
      <c r="AD1621" s="284" t="s">
        <v>1044</v>
      </c>
      <c r="AE1621" s="1310"/>
      <c r="AF1621" s="286"/>
      <c r="AG1621" s="286"/>
      <c r="AH1621" s="1317" t="s">
        <v>1040</v>
      </c>
      <c r="AI1621" s="283"/>
      <c r="AJ1621" s="284" t="s">
        <v>1044</v>
      </c>
      <c r="AK1621" s="1310"/>
      <c r="AL1621" s="286"/>
      <c r="AM1621" s="286"/>
      <c r="AN1621" s="1317" t="s">
        <v>1040</v>
      </c>
      <c r="AO1621" s="283"/>
      <c r="AP1621" s="284" t="s">
        <v>1044</v>
      </c>
      <c r="AQ1621" s="1310"/>
      <c r="AR1621" s="286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4"/>
      <c r="BR1621" s="4"/>
      <c r="BS1621" s="4"/>
      <c r="BT1621" s="4"/>
      <c r="BU1621" s="4"/>
      <c r="BV1621" s="4"/>
      <c r="BW1621" s="4"/>
      <c r="BX1621" s="4"/>
      <c r="BY1621" s="4"/>
      <c r="BZ1621" s="4"/>
      <c r="CA1621" s="4"/>
      <c r="CB1621" s="4"/>
      <c r="CC1621" s="4"/>
      <c r="CD1621" s="4"/>
      <c r="CE1621" s="4"/>
      <c r="CF1621" s="4"/>
      <c r="CG1621" s="4"/>
      <c r="CH1621" s="4"/>
    </row>
    <row r="1622" spans="1:86" s="3" customFormat="1" ht="16.7" customHeight="1" x14ac:dyDescent="0.25">
      <c r="A1622" s="2232"/>
      <c r="B1622" s="2232"/>
      <c r="C1622" s="2232"/>
      <c r="D1622" s="2232"/>
      <c r="E1622" s="2232"/>
      <c r="F1622" s="2232"/>
      <c r="G1622" s="2232"/>
      <c r="H1622" s="2232"/>
      <c r="I1622" s="2232"/>
      <c r="J1622" s="1326"/>
      <c r="K1622" s="283"/>
      <c r="L1622" s="284" t="s">
        <v>2</v>
      </c>
      <c r="M1622" s="1311"/>
      <c r="N1622" s="286"/>
      <c r="O1622" s="286"/>
      <c r="P1622" s="1326"/>
      <c r="Q1622" s="283"/>
      <c r="R1622" s="284" t="s">
        <v>2</v>
      </c>
      <c r="S1622" s="1311"/>
      <c r="T1622" s="286"/>
      <c r="U1622" s="286"/>
      <c r="V1622" s="1326"/>
      <c r="W1622" s="283"/>
      <c r="X1622" s="284" t="s">
        <v>2</v>
      </c>
      <c r="Y1622" s="1311"/>
      <c r="Z1622" s="286"/>
      <c r="AA1622" s="286"/>
      <c r="AB1622" s="1326"/>
      <c r="AC1622" s="283"/>
      <c r="AD1622" s="284" t="s">
        <v>2</v>
      </c>
      <c r="AE1622" s="1311"/>
      <c r="AF1622" s="286"/>
      <c r="AG1622" s="286"/>
      <c r="AH1622" s="1326"/>
      <c r="AI1622" s="283"/>
      <c r="AJ1622" s="284" t="s">
        <v>2</v>
      </c>
      <c r="AK1622" s="1311"/>
      <c r="AL1622" s="286"/>
      <c r="AM1622" s="286"/>
      <c r="AN1622" s="1326"/>
      <c r="AO1622" s="283"/>
      <c r="AP1622" s="284" t="s">
        <v>2</v>
      </c>
      <c r="AQ1622" s="1311"/>
      <c r="AR1622" s="286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  <c r="BV1622" s="4"/>
      <c r="BW1622" s="4"/>
      <c r="BX1622" s="4"/>
      <c r="BY1622" s="4"/>
      <c r="BZ1622" s="4"/>
      <c r="CA1622" s="4"/>
      <c r="CB1622" s="4"/>
      <c r="CC1622" s="4"/>
      <c r="CD1622" s="4"/>
      <c r="CE1622" s="4"/>
      <c r="CF1622" s="4"/>
      <c r="CG1622" s="4"/>
      <c r="CH1622" s="4"/>
    </row>
    <row r="1623" spans="1:86" s="3" customFormat="1" ht="16.7" customHeight="1" x14ac:dyDescent="0.25">
      <c r="A1623" s="2232"/>
      <c r="B1623" s="2232"/>
      <c r="C1623" s="2232"/>
      <c r="D1623" s="2232"/>
      <c r="E1623" s="2232"/>
      <c r="F1623" s="2232"/>
      <c r="G1623" s="2232"/>
      <c r="H1623" s="2232"/>
      <c r="I1623" s="2232"/>
      <c r="J1623" s="1318"/>
      <c r="K1623" s="283"/>
      <c r="L1623" s="284" t="s">
        <v>4</v>
      </c>
      <c r="M1623" s="1312"/>
      <c r="N1623" s="286"/>
      <c r="O1623" s="286"/>
      <c r="P1623" s="1318"/>
      <c r="Q1623" s="283"/>
      <c r="R1623" s="284" t="s">
        <v>4</v>
      </c>
      <c r="S1623" s="1312"/>
      <c r="T1623" s="286"/>
      <c r="U1623" s="286"/>
      <c r="V1623" s="1318"/>
      <c r="W1623" s="283"/>
      <c r="X1623" s="284" t="s">
        <v>4</v>
      </c>
      <c r="Y1623" s="1312"/>
      <c r="Z1623" s="286"/>
      <c r="AA1623" s="286"/>
      <c r="AB1623" s="1318"/>
      <c r="AC1623" s="283"/>
      <c r="AD1623" s="284" t="s">
        <v>4</v>
      </c>
      <c r="AE1623" s="1312"/>
      <c r="AF1623" s="286"/>
      <c r="AG1623" s="286"/>
      <c r="AH1623" s="1318"/>
      <c r="AI1623" s="283"/>
      <c r="AJ1623" s="284" t="s">
        <v>4</v>
      </c>
      <c r="AK1623" s="1312"/>
      <c r="AL1623" s="286"/>
      <c r="AM1623" s="286"/>
      <c r="AN1623" s="1318"/>
      <c r="AO1623" s="283"/>
      <c r="AP1623" s="284" t="s">
        <v>4</v>
      </c>
      <c r="AQ1623" s="1312"/>
      <c r="AR1623" s="286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  <c r="BN1623" s="4"/>
      <c r="BO1623" s="4"/>
      <c r="BP1623" s="4"/>
      <c r="BQ1623" s="4"/>
      <c r="BR1623" s="4"/>
      <c r="BS1623" s="4"/>
      <c r="BT1623" s="4"/>
      <c r="BU1623" s="4"/>
      <c r="BV1623" s="4"/>
      <c r="BW1623" s="4"/>
      <c r="BX1623" s="4"/>
      <c r="BY1623" s="4"/>
      <c r="BZ1623" s="4"/>
      <c r="CA1623" s="4"/>
      <c r="CB1623" s="4"/>
      <c r="CC1623" s="4"/>
      <c r="CD1623" s="4"/>
      <c r="CE1623" s="4"/>
      <c r="CF1623" s="4"/>
      <c r="CG1623" s="4"/>
      <c r="CH1623" s="4"/>
    </row>
    <row r="1624" spans="1:86" s="3" customFormat="1" ht="21.2" customHeight="1" x14ac:dyDescent="0.25">
      <c r="A1624" s="2232"/>
      <c r="B1624" s="2232"/>
      <c r="C1624" s="2232"/>
      <c r="D1624" s="2232"/>
      <c r="E1624" s="2232"/>
      <c r="F1624" s="2232"/>
      <c r="G1624" s="2232"/>
      <c r="H1624" s="2232"/>
      <c r="I1624" s="2232"/>
      <c r="J1624" s="952" t="s">
        <v>6</v>
      </c>
      <c r="K1624" s="283"/>
      <c r="L1624" s="284" t="s">
        <v>2</v>
      </c>
      <c r="M1624" s="283"/>
      <c r="N1624" s="286"/>
      <c r="O1624" s="286"/>
      <c r="P1624" s="952" t="s">
        <v>6</v>
      </c>
      <c r="Q1624" s="283"/>
      <c r="R1624" s="284" t="s">
        <v>2</v>
      </c>
      <c r="S1624" s="283"/>
      <c r="T1624" s="286"/>
      <c r="U1624" s="286"/>
      <c r="V1624" s="952" t="s">
        <v>6</v>
      </c>
      <c r="W1624" s="283"/>
      <c r="X1624" s="284" t="s">
        <v>2</v>
      </c>
      <c r="Y1624" s="283"/>
      <c r="Z1624" s="286"/>
      <c r="AA1624" s="286"/>
      <c r="AB1624" s="952" t="s">
        <v>6</v>
      </c>
      <c r="AC1624" s="283"/>
      <c r="AD1624" s="284" t="s">
        <v>2</v>
      </c>
      <c r="AE1624" s="283"/>
      <c r="AF1624" s="286"/>
      <c r="AG1624" s="286"/>
      <c r="AH1624" s="952" t="s">
        <v>6</v>
      </c>
      <c r="AI1624" s="283"/>
      <c r="AJ1624" s="284" t="s">
        <v>2</v>
      </c>
      <c r="AK1624" s="283"/>
      <c r="AL1624" s="286"/>
      <c r="AM1624" s="286"/>
      <c r="AN1624" s="952" t="s">
        <v>6</v>
      </c>
      <c r="AO1624" s="283"/>
      <c r="AP1624" s="284" t="s">
        <v>2</v>
      </c>
      <c r="AQ1624" s="283"/>
      <c r="AR1624" s="286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  <c r="BN1624" s="4"/>
      <c r="BO1624" s="4"/>
      <c r="BP1624" s="4"/>
      <c r="BQ1624" s="4"/>
      <c r="BR1624" s="4"/>
      <c r="BS1624" s="4"/>
      <c r="BT1624" s="4"/>
      <c r="BU1624" s="4"/>
      <c r="BV1624" s="4"/>
      <c r="BW1624" s="4"/>
      <c r="BX1624" s="4"/>
      <c r="BY1624" s="4"/>
      <c r="BZ1624" s="4"/>
      <c r="CA1624" s="4"/>
      <c r="CB1624" s="4"/>
      <c r="CC1624" s="4"/>
      <c r="CD1624" s="4"/>
      <c r="CE1624" s="4"/>
      <c r="CF1624" s="4"/>
      <c r="CG1624" s="4"/>
      <c r="CH1624" s="4"/>
    </row>
    <row r="1625" spans="1:86" s="3" customFormat="1" ht="32.85" customHeight="1" x14ac:dyDescent="0.25">
      <c r="A1625" s="2232"/>
      <c r="B1625" s="2232"/>
      <c r="C1625" s="2232"/>
      <c r="D1625" s="2232"/>
      <c r="E1625" s="2232"/>
      <c r="F1625" s="2232"/>
      <c r="G1625" s="2232"/>
      <c r="H1625" s="2232"/>
      <c r="I1625" s="2232"/>
      <c r="J1625" s="287" t="s">
        <v>7</v>
      </c>
      <c r="K1625" s="283"/>
      <c r="L1625" s="284" t="s">
        <v>8</v>
      </c>
      <c r="M1625" s="283"/>
      <c r="N1625" s="286"/>
      <c r="O1625" s="286"/>
      <c r="P1625" s="287" t="s">
        <v>7</v>
      </c>
      <c r="Q1625" s="283"/>
      <c r="R1625" s="284" t="s">
        <v>8</v>
      </c>
      <c r="S1625" s="283"/>
      <c r="T1625" s="286"/>
      <c r="U1625" s="286"/>
      <c r="V1625" s="287" t="s">
        <v>7</v>
      </c>
      <c r="W1625" s="283"/>
      <c r="X1625" s="284" t="s">
        <v>8</v>
      </c>
      <c r="Y1625" s="283"/>
      <c r="Z1625" s="286"/>
      <c r="AA1625" s="286"/>
      <c r="AB1625" s="287" t="s">
        <v>7</v>
      </c>
      <c r="AC1625" s="283"/>
      <c r="AD1625" s="284" t="s">
        <v>8</v>
      </c>
      <c r="AE1625" s="283"/>
      <c r="AF1625" s="286"/>
      <c r="AG1625" s="286"/>
      <c r="AH1625" s="287" t="s">
        <v>7</v>
      </c>
      <c r="AI1625" s="283"/>
      <c r="AJ1625" s="284" t="s">
        <v>8</v>
      </c>
      <c r="AK1625" s="283"/>
      <c r="AL1625" s="286"/>
      <c r="AM1625" s="286"/>
      <c r="AN1625" s="287" t="s">
        <v>7</v>
      </c>
      <c r="AO1625" s="283"/>
      <c r="AP1625" s="284" t="s">
        <v>8</v>
      </c>
      <c r="AQ1625" s="283"/>
      <c r="AR1625" s="286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  <c r="BV1625" s="4"/>
      <c r="BW1625" s="4"/>
      <c r="BX1625" s="4"/>
      <c r="BY1625" s="4"/>
      <c r="BZ1625" s="4"/>
      <c r="CA1625" s="4"/>
      <c r="CB1625" s="4"/>
      <c r="CC1625" s="4"/>
      <c r="CD1625" s="4"/>
      <c r="CE1625" s="4"/>
      <c r="CF1625" s="4"/>
      <c r="CG1625" s="4"/>
      <c r="CH1625" s="4"/>
    </row>
    <row r="1626" spans="1:86" s="3" customFormat="1" ht="27.75" customHeight="1" x14ac:dyDescent="0.25">
      <c r="A1626" s="2232"/>
      <c r="B1626" s="2232"/>
      <c r="C1626" s="2232"/>
      <c r="D1626" s="2232"/>
      <c r="E1626" s="2232"/>
      <c r="F1626" s="2232"/>
      <c r="G1626" s="2232"/>
      <c r="H1626" s="2232"/>
      <c r="I1626" s="2232"/>
      <c r="J1626" s="287" t="s">
        <v>35</v>
      </c>
      <c r="K1626" s="283"/>
      <c r="L1626" s="284" t="s">
        <v>8</v>
      </c>
      <c r="M1626" s="283"/>
      <c r="N1626" s="286"/>
      <c r="O1626" s="286"/>
      <c r="P1626" s="287" t="s">
        <v>35</v>
      </c>
      <c r="Q1626" s="283"/>
      <c r="R1626" s="284" t="s">
        <v>8</v>
      </c>
      <c r="S1626" s="283"/>
      <c r="T1626" s="286"/>
      <c r="U1626" s="286"/>
      <c r="V1626" s="287" t="s">
        <v>35</v>
      </c>
      <c r="W1626" s="283"/>
      <c r="X1626" s="284" t="s">
        <v>8</v>
      </c>
      <c r="Y1626" s="283"/>
      <c r="Z1626" s="286"/>
      <c r="AA1626" s="286"/>
      <c r="AB1626" s="287" t="s">
        <v>35</v>
      </c>
      <c r="AC1626" s="283"/>
      <c r="AD1626" s="284" t="s">
        <v>8</v>
      </c>
      <c r="AE1626" s="283"/>
      <c r="AF1626" s="286"/>
      <c r="AG1626" s="286"/>
      <c r="AH1626" s="287" t="s">
        <v>35</v>
      </c>
      <c r="AI1626" s="283"/>
      <c r="AJ1626" s="284" t="s">
        <v>8</v>
      </c>
      <c r="AK1626" s="283"/>
      <c r="AL1626" s="286"/>
      <c r="AM1626" s="286"/>
      <c r="AN1626" s="287" t="s">
        <v>35</v>
      </c>
      <c r="AO1626" s="283"/>
      <c r="AP1626" s="284" t="s">
        <v>8</v>
      </c>
      <c r="AQ1626" s="283"/>
      <c r="AR1626" s="286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4"/>
      <c r="BR1626" s="4"/>
      <c r="BS1626" s="4"/>
      <c r="BT1626" s="4"/>
      <c r="BU1626" s="4"/>
      <c r="BV1626" s="4"/>
      <c r="BW1626" s="4"/>
      <c r="BX1626" s="4"/>
      <c r="BY1626" s="4"/>
      <c r="BZ1626" s="4"/>
      <c r="CA1626" s="4"/>
      <c r="CB1626" s="4"/>
      <c r="CC1626" s="4"/>
      <c r="CD1626" s="4"/>
      <c r="CE1626" s="4"/>
      <c r="CF1626" s="4"/>
      <c r="CG1626" s="4"/>
      <c r="CH1626" s="4"/>
    </row>
    <row r="1627" spans="1:86" s="3" customFormat="1" ht="37.35" customHeight="1" x14ac:dyDescent="0.25">
      <c r="A1627" s="2232"/>
      <c r="B1627" s="2232"/>
      <c r="C1627" s="2232"/>
      <c r="D1627" s="2232"/>
      <c r="E1627" s="2232"/>
      <c r="F1627" s="2232"/>
      <c r="G1627" s="2232"/>
      <c r="H1627" s="2232"/>
      <c r="I1627" s="2232"/>
      <c r="J1627" s="287" t="s">
        <v>1041</v>
      </c>
      <c r="K1627" s="283"/>
      <c r="L1627" s="284" t="s">
        <v>1044</v>
      </c>
      <c r="M1627" s="283"/>
      <c r="N1627" s="286"/>
      <c r="O1627" s="286"/>
      <c r="P1627" s="287" t="s">
        <v>1041</v>
      </c>
      <c r="Q1627" s="283"/>
      <c r="R1627" s="284" t="s">
        <v>1044</v>
      </c>
      <c r="S1627" s="283"/>
      <c r="T1627" s="286"/>
      <c r="U1627" s="286"/>
      <c r="V1627" s="287" t="s">
        <v>1041</v>
      </c>
      <c r="W1627" s="283"/>
      <c r="X1627" s="284" t="s">
        <v>1044</v>
      </c>
      <c r="Y1627" s="283"/>
      <c r="Z1627" s="286"/>
      <c r="AA1627" s="286"/>
      <c r="AB1627" s="287" t="s">
        <v>1041</v>
      </c>
      <c r="AC1627" s="283"/>
      <c r="AD1627" s="284" t="s">
        <v>1044</v>
      </c>
      <c r="AE1627" s="283"/>
      <c r="AF1627" s="286"/>
      <c r="AG1627" s="286"/>
      <c r="AH1627" s="287" t="s">
        <v>1041</v>
      </c>
      <c r="AI1627" s="283"/>
      <c r="AJ1627" s="284" t="s">
        <v>1044</v>
      </c>
      <c r="AK1627" s="283"/>
      <c r="AL1627" s="286"/>
      <c r="AM1627" s="286"/>
      <c r="AN1627" s="287" t="s">
        <v>1041</v>
      </c>
      <c r="AO1627" s="283"/>
      <c r="AP1627" s="284" t="s">
        <v>1044</v>
      </c>
      <c r="AQ1627" s="283"/>
      <c r="AR1627" s="286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4"/>
      <c r="BR1627" s="4"/>
      <c r="BS1627" s="4"/>
      <c r="BT1627" s="4"/>
      <c r="BU1627" s="4"/>
      <c r="BV1627" s="4"/>
      <c r="BW1627" s="4"/>
      <c r="BX1627" s="4"/>
      <c r="BY1627" s="4"/>
      <c r="BZ1627" s="4"/>
      <c r="CA1627" s="4"/>
      <c r="CB1627" s="4"/>
      <c r="CC1627" s="4"/>
      <c r="CD1627" s="4"/>
      <c r="CE1627" s="4"/>
      <c r="CF1627" s="4"/>
      <c r="CG1627" s="4"/>
      <c r="CH1627" s="4"/>
    </row>
    <row r="1628" spans="1:86" s="3" customFormat="1" ht="27.75" customHeight="1" x14ac:dyDescent="0.25">
      <c r="A1628" s="2232"/>
      <c r="B1628" s="2232"/>
      <c r="C1628" s="2232"/>
      <c r="D1628" s="2232"/>
      <c r="E1628" s="2232"/>
      <c r="F1628" s="2232"/>
      <c r="G1628" s="2232"/>
      <c r="H1628" s="2232"/>
      <c r="I1628" s="2232"/>
      <c r="J1628" s="287" t="s">
        <v>11</v>
      </c>
      <c r="K1628" s="283"/>
      <c r="L1628" s="284" t="s">
        <v>4</v>
      </c>
      <c r="M1628" s="283"/>
      <c r="N1628" s="286"/>
      <c r="O1628" s="286"/>
      <c r="P1628" s="287" t="s">
        <v>11</v>
      </c>
      <c r="Q1628" s="283"/>
      <c r="R1628" s="284" t="s">
        <v>4</v>
      </c>
      <c r="S1628" s="283"/>
      <c r="T1628" s="286"/>
      <c r="U1628" s="286"/>
      <c r="V1628" s="287" t="s">
        <v>11</v>
      </c>
      <c r="W1628" s="283"/>
      <c r="X1628" s="284" t="s">
        <v>4</v>
      </c>
      <c r="Y1628" s="283"/>
      <c r="Z1628" s="286"/>
      <c r="AA1628" s="286"/>
      <c r="AB1628" s="287" t="s">
        <v>11</v>
      </c>
      <c r="AC1628" s="283"/>
      <c r="AD1628" s="284" t="s">
        <v>4</v>
      </c>
      <c r="AE1628" s="283"/>
      <c r="AF1628" s="286"/>
      <c r="AG1628" s="286"/>
      <c r="AH1628" s="287" t="s">
        <v>11</v>
      </c>
      <c r="AI1628" s="283"/>
      <c r="AJ1628" s="284" t="s">
        <v>4</v>
      </c>
      <c r="AK1628" s="283"/>
      <c r="AL1628" s="286"/>
      <c r="AM1628" s="286"/>
      <c r="AN1628" s="287" t="s">
        <v>11</v>
      </c>
      <c r="AO1628" s="283"/>
      <c r="AP1628" s="284" t="s">
        <v>4</v>
      </c>
      <c r="AQ1628" s="283"/>
      <c r="AR1628" s="286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4"/>
      <c r="CD1628" s="4"/>
      <c r="CE1628" s="4"/>
      <c r="CF1628" s="4"/>
      <c r="CG1628" s="4"/>
      <c r="CH1628" s="4"/>
    </row>
    <row r="1629" spans="1:86" s="3" customFormat="1" ht="27.75" customHeight="1" x14ac:dyDescent="0.25">
      <c r="A1629" s="2232"/>
      <c r="B1629" s="2232"/>
      <c r="C1629" s="2232"/>
      <c r="D1629" s="2232"/>
      <c r="E1629" s="2232"/>
      <c r="F1629" s="2232"/>
      <c r="G1629" s="2232"/>
      <c r="H1629" s="2232"/>
      <c r="I1629" s="2232"/>
      <c r="J1629" s="287" t="s">
        <v>1042</v>
      </c>
      <c r="K1629" s="283"/>
      <c r="L1629" s="284" t="s">
        <v>1044</v>
      </c>
      <c r="M1629" s="283"/>
      <c r="N1629" s="286"/>
      <c r="O1629" s="286"/>
      <c r="P1629" s="287" t="s">
        <v>1042</v>
      </c>
      <c r="Q1629" s="283"/>
      <c r="R1629" s="284" t="s">
        <v>1044</v>
      </c>
      <c r="S1629" s="283"/>
      <c r="T1629" s="286"/>
      <c r="U1629" s="286"/>
      <c r="V1629" s="287" t="s">
        <v>1042</v>
      </c>
      <c r="W1629" s="283"/>
      <c r="X1629" s="284" t="s">
        <v>1044</v>
      </c>
      <c r="Y1629" s="283"/>
      <c r="Z1629" s="286"/>
      <c r="AA1629" s="286"/>
      <c r="AB1629" s="287" t="s">
        <v>1042</v>
      </c>
      <c r="AC1629" s="283"/>
      <c r="AD1629" s="284" t="s">
        <v>1044</v>
      </c>
      <c r="AE1629" s="283"/>
      <c r="AF1629" s="286"/>
      <c r="AG1629" s="286"/>
      <c r="AH1629" s="287" t="s">
        <v>1042</v>
      </c>
      <c r="AI1629" s="283"/>
      <c r="AJ1629" s="284" t="s">
        <v>1044</v>
      </c>
      <c r="AK1629" s="283"/>
      <c r="AL1629" s="286"/>
      <c r="AM1629" s="286"/>
      <c r="AN1629" s="287" t="s">
        <v>1042</v>
      </c>
      <c r="AO1629" s="283"/>
      <c r="AP1629" s="284" t="s">
        <v>1044</v>
      </c>
      <c r="AQ1629" s="283"/>
      <c r="AR1629" s="286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4"/>
      <c r="CD1629" s="4"/>
      <c r="CE1629" s="4"/>
      <c r="CF1629" s="4"/>
      <c r="CG1629" s="4"/>
      <c r="CH1629" s="4"/>
    </row>
    <row r="1630" spans="1:86" s="3" customFormat="1" ht="32.85" customHeight="1" x14ac:dyDescent="0.25">
      <c r="A1630" s="2232"/>
      <c r="B1630" s="2232"/>
      <c r="C1630" s="2232"/>
      <c r="D1630" s="2232"/>
      <c r="E1630" s="2232"/>
      <c r="F1630" s="2232"/>
      <c r="G1630" s="2232"/>
      <c r="H1630" s="2232"/>
      <c r="I1630" s="2232"/>
      <c r="J1630" s="287" t="s">
        <v>37</v>
      </c>
      <c r="K1630" s="283"/>
      <c r="L1630" s="284" t="s">
        <v>1044</v>
      </c>
      <c r="M1630" s="283"/>
      <c r="N1630" s="286"/>
      <c r="O1630" s="286"/>
      <c r="P1630" s="287" t="s">
        <v>37</v>
      </c>
      <c r="Q1630" s="283"/>
      <c r="R1630" s="284" t="s">
        <v>1044</v>
      </c>
      <c r="S1630" s="283"/>
      <c r="T1630" s="286"/>
      <c r="U1630" s="286"/>
      <c r="V1630" s="287" t="s">
        <v>37</v>
      </c>
      <c r="W1630" s="283"/>
      <c r="X1630" s="284" t="s">
        <v>1044</v>
      </c>
      <c r="Y1630" s="283"/>
      <c r="Z1630" s="286"/>
      <c r="AA1630" s="286"/>
      <c r="AB1630" s="287" t="s">
        <v>37</v>
      </c>
      <c r="AC1630" s="283"/>
      <c r="AD1630" s="284" t="s">
        <v>1044</v>
      </c>
      <c r="AE1630" s="283"/>
      <c r="AF1630" s="286"/>
      <c r="AG1630" s="286"/>
      <c r="AH1630" s="287" t="s">
        <v>37</v>
      </c>
      <c r="AI1630" s="283"/>
      <c r="AJ1630" s="284" t="s">
        <v>1044</v>
      </c>
      <c r="AK1630" s="283"/>
      <c r="AL1630" s="286"/>
      <c r="AM1630" s="286"/>
      <c r="AN1630" s="287" t="s">
        <v>37</v>
      </c>
      <c r="AO1630" s="283"/>
      <c r="AP1630" s="284" t="s">
        <v>1044</v>
      </c>
      <c r="AQ1630" s="283"/>
      <c r="AR1630" s="286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  <c r="BV1630" s="4"/>
      <c r="BW1630" s="4"/>
      <c r="BX1630" s="4"/>
      <c r="BY1630" s="4"/>
      <c r="BZ1630" s="4"/>
      <c r="CA1630" s="4"/>
      <c r="CB1630" s="4"/>
      <c r="CC1630" s="4"/>
      <c r="CD1630" s="4"/>
      <c r="CE1630" s="4"/>
      <c r="CF1630" s="4"/>
      <c r="CG1630" s="4"/>
      <c r="CH1630" s="4"/>
    </row>
    <row r="1631" spans="1:86" s="3" customFormat="1" ht="27.75" customHeight="1" x14ac:dyDescent="0.25">
      <c r="A1631" s="2232"/>
      <c r="B1631" s="2232"/>
      <c r="C1631" s="2232"/>
      <c r="D1631" s="2232"/>
      <c r="E1631" s="2232"/>
      <c r="F1631" s="2232"/>
      <c r="G1631" s="2232"/>
      <c r="H1631" s="2232"/>
      <c r="I1631" s="2232"/>
      <c r="J1631" s="287" t="s">
        <v>671</v>
      </c>
      <c r="K1631" s="283"/>
      <c r="L1631" s="284" t="s">
        <v>4</v>
      </c>
      <c r="M1631" s="283"/>
      <c r="N1631" s="286"/>
      <c r="O1631" s="286"/>
      <c r="P1631" s="287" t="s">
        <v>671</v>
      </c>
      <c r="Q1631" s="283"/>
      <c r="R1631" s="284" t="s">
        <v>4</v>
      </c>
      <c r="S1631" s="283"/>
      <c r="T1631" s="286"/>
      <c r="U1631" s="286"/>
      <c r="V1631" s="287" t="s">
        <v>671</v>
      </c>
      <c r="W1631" s="283"/>
      <c r="X1631" s="284" t="s">
        <v>4</v>
      </c>
      <c r="Y1631" s="283"/>
      <c r="Z1631" s="286"/>
      <c r="AA1631" s="286"/>
      <c r="AB1631" s="287" t="s">
        <v>671</v>
      </c>
      <c r="AC1631" s="283"/>
      <c r="AD1631" s="284" t="s">
        <v>4</v>
      </c>
      <c r="AE1631" s="283"/>
      <c r="AF1631" s="286"/>
      <c r="AG1631" s="286"/>
      <c r="AH1631" s="287" t="s">
        <v>671</v>
      </c>
      <c r="AI1631" s="283"/>
      <c r="AJ1631" s="284" t="s">
        <v>4</v>
      </c>
      <c r="AK1631" s="283"/>
      <c r="AL1631" s="286"/>
      <c r="AM1631" s="286"/>
      <c r="AN1631" s="287" t="s">
        <v>671</v>
      </c>
      <c r="AO1631" s="283"/>
      <c r="AP1631" s="284" t="s">
        <v>4</v>
      </c>
      <c r="AQ1631" s="283"/>
      <c r="AR1631" s="286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  <c r="BV1631" s="4"/>
      <c r="BW1631" s="4"/>
      <c r="BX1631" s="4"/>
      <c r="BY1631" s="4"/>
      <c r="BZ1631" s="4"/>
      <c r="CA1631" s="4"/>
      <c r="CB1631" s="4"/>
      <c r="CC1631" s="4"/>
      <c r="CD1631" s="4"/>
      <c r="CE1631" s="4"/>
      <c r="CF1631" s="4"/>
      <c r="CG1631" s="4"/>
      <c r="CH1631" s="4"/>
    </row>
    <row r="1632" spans="1:86" s="3" customFormat="1" ht="39.200000000000003" customHeight="1" x14ac:dyDescent="0.25">
      <c r="A1632" s="2232"/>
      <c r="B1632" s="2232"/>
      <c r="C1632" s="2232"/>
      <c r="D1632" s="2232"/>
      <c r="E1632" s="2232"/>
      <c r="F1632" s="2232"/>
      <c r="G1632" s="2232"/>
      <c r="H1632" s="2232"/>
      <c r="I1632" s="2232"/>
      <c r="J1632" s="287" t="s">
        <v>672</v>
      </c>
      <c r="K1632" s="283"/>
      <c r="L1632" s="284" t="s">
        <v>4</v>
      </c>
      <c r="M1632" s="283"/>
      <c r="N1632" s="286"/>
      <c r="O1632" s="286"/>
      <c r="P1632" s="287" t="s">
        <v>672</v>
      </c>
      <c r="Q1632" s="283"/>
      <c r="R1632" s="284" t="s">
        <v>4</v>
      </c>
      <c r="S1632" s="283"/>
      <c r="T1632" s="286"/>
      <c r="U1632" s="286"/>
      <c r="V1632" s="287" t="s">
        <v>672</v>
      </c>
      <c r="W1632" s="283"/>
      <c r="X1632" s="284" t="s">
        <v>4</v>
      </c>
      <c r="Y1632" s="283"/>
      <c r="Z1632" s="286"/>
      <c r="AA1632" s="286"/>
      <c r="AB1632" s="287" t="s">
        <v>672</v>
      </c>
      <c r="AC1632" s="283"/>
      <c r="AD1632" s="284" t="s">
        <v>4</v>
      </c>
      <c r="AE1632" s="283"/>
      <c r="AF1632" s="286"/>
      <c r="AG1632" s="286"/>
      <c r="AH1632" s="287" t="s">
        <v>672</v>
      </c>
      <c r="AI1632" s="283"/>
      <c r="AJ1632" s="284" t="s">
        <v>4</v>
      </c>
      <c r="AK1632" s="283"/>
      <c r="AL1632" s="286"/>
      <c r="AM1632" s="286"/>
      <c r="AN1632" s="287" t="s">
        <v>672</v>
      </c>
      <c r="AO1632" s="283"/>
      <c r="AP1632" s="284" t="s">
        <v>4</v>
      </c>
      <c r="AQ1632" s="283"/>
      <c r="AR1632" s="286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  <c r="BN1632" s="4"/>
      <c r="BO1632" s="4"/>
      <c r="BP1632" s="4"/>
      <c r="BQ1632" s="4"/>
      <c r="BR1632" s="4"/>
      <c r="BS1632" s="4"/>
      <c r="BT1632" s="4"/>
      <c r="BU1632" s="4"/>
      <c r="BV1632" s="4"/>
      <c r="BW1632" s="4"/>
      <c r="BX1632" s="4"/>
      <c r="BY1632" s="4"/>
      <c r="BZ1632" s="4"/>
      <c r="CA1632" s="4"/>
      <c r="CB1632" s="4"/>
      <c r="CC1632" s="4"/>
      <c r="CD1632" s="4"/>
      <c r="CE1632" s="4"/>
      <c r="CF1632" s="4"/>
      <c r="CG1632" s="4"/>
      <c r="CH1632" s="4"/>
    </row>
    <row r="1633" spans="1:86" s="3" customFormat="1" ht="39.200000000000003" customHeight="1" x14ac:dyDescent="0.25">
      <c r="A1633" s="2232"/>
      <c r="B1633" s="2232"/>
      <c r="C1633" s="2232"/>
      <c r="D1633" s="2232"/>
      <c r="E1633" s="2232"/>
      <c r="F1633" s="2232"/>
      <c r="G1633" s="2232"/>
      <c r="H1633" s="2232"/>
      <c r="I1633" s="2232"/>
      <c r="J1633" s="287" t="s">
        <v>673</v>
      </c>
      <c r="K1633" s="283"/>
      <c r="L1633" s="284" t="s">
        <v>4</v>
      </c>
      <c r="M1633" s="283"/>
      <c r="N1633" s="286"/>
      <c r="O1633" s="286"/>
      <c r="P1633" s="287" t="s">
        <v>673</v>
      </c>
      <c r="Q1633" s="283"/>
      <c r="R1633" s="284" t="s">
        <v>4</v>
      </c>
      <c r="S1633" s="283"/>
      <c r="T1633" s="286"/>
      <c r="U1633" s="286"/>
      <c r="V1633" s="287" t="s">
        <v>673</v>
      </c>
      <c r="W1633" s="283"/>
      <c r="X1633" s="284" t="s">
        <v>4</v>
      </c>
      <c r="Y1633" s="283"/>
      <c r="Z1633" s="286"/>
      <c r="AA1633" s="286"/>
      <c r="AB1633" s="287" t="s">
        <v>673</v>
      </c>
      <c r="AC1633" s="283"/>
      <c r="AD1633" s="284" t="s">
        <v>4</v>
      </c>
      <c r="AE1633" s="283"/>
      <c r="AF1633" s="286"/>
      <c r="AG1633" s="286"/>
      <c r="AH1633" s="287" t="s">
        <v>673</v>
      </c>
      <c r="AI1633" s="283"/>
      <c r="AJ1633" s="284" t="s">
        <v>4</v>
      </c>
      <c r="AK1633" s="283"/>
      <c r="AL1633" s="286"/>
      <c r="AM1633" s="286"/>
      <c r="AN1633" s="287" t="s">
        <v>673</v>
      </c>
      <c r="AO1633" s="283"/>
      <c r="AP1633" s="284" t="s">
        <v>4</v>
      </c>
      <c r="AQ1633" s="283"/>
      <c r="AR1633" s="286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4"/>
      <c r="BR1633" s="4"/>
      <c r="BS1633" s="4"/>
      <c r="BT1633" s="4"/>
      <c r="BU1633" s="4"/>
      <c r="BV1633" s="4"/>
      <c r="BW1633" s="4"/>
      <c r="BX1633" s="4"/>
      <c r="BY1633" s="4"/>
      <c r="BZ1633" s="4"/>
      <c r="CA1633" s="4"/>
      <c r="CB1633" s="4"/>
      <c r="CC1633" s="4"/>
      <c r="CD1633" s="4"/>
      <c r="CE1633" s="4"/>
      <c r="CF1633" s="4"/>
      <c r="CG1633" s="4"/>
      <c r="CH1633" s="4"/>
    </row>
    <row r="1634" spans="1:86" s="3" customFormat="1" ht="39.200000000000003" customHeight="1" x14ac:dyDescent="0.25">
      <c r="A1634" s="2232"/>
      <c r="B1634" s="2232"/>
      <c r="C1634" s="2232"/>
      <c r="D1634" s="2232"/>
      <c r="E1634" s="2232"/>
      <c r="F1634" s="2232"/>
      <c r="G1634" s="2232"/>
      <c r="H1634" s="2232"/>
      <c r="I1634" s="2232"/>
      <c r="J1634" s="287" t="s">
        <v>674</v>
      </c>
      <c r="K1634" s="283"/>
      <c r="L1634" s="284" t="s">
        <v>8</v>
      </c>
      <c r="M1634" s="283"/>
      <c r="N1634" s="286"/>
      <c r="O1634" s="286"/>
      <c r="P1634" s="287" t="s">
        <v>674</v>
      </c>
      <c r="Q1634" s="283"/>
      <c r="R1634" s="284" t="s">
        <v>8</v>
      </c>
      <c r="S1634" s="283"/>
      <c r="T1634" s="286"/>
      <c r="U1634" s="286"/>
      <c r="V1634" s="287" t="s">
        <v>674</v>
      </c>
      <c r="W1634" s="283"/>
      <c r="X1634" s="284" t="s">
        <v>8</v>
      </c>
      <c r="Y1634" s="283"/>
      <c r="Z1634" s="286"/>
      <c r="AA1634" s="286"/>
      <c r="AB1634" s="287" t="s">
        <v>674</v>
      </c>
      <c r="AC1634" s="283"/>
      <c r="AD1634" s="284" t="s">
        <v>8</v>
      </c>
      <c r="AE1634" s="283"/>
      <c r="AF1634" s="286"/>
      <c r="AG1634" s="286"/>
      <c r="AH1634" s="287" t="s">
        <v>674</v>
      </c>
      <c r="AI1634" s="283"/>
      <c r="AJ1634" s="284" t="s">
        <v>8</v>
      </c>
      <c r="AK1634" s="283"/>
      <c r="AL1634" s="286"/>
      <c r="AM1634" s="286"/>
      <c r="AN1634" s="287" t="s">
        <v>674</v>
      </c>
      <c r="AO1634" s="283"/>
      <c r="AP1634" s="284" t="s">
        <v>8</v>
      </c>
      <c r="AQ1634" s="283"/>
      <c r="AR1634" s="286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  <c r="BV1634" s="4"/>
      <c r="BW1634" s="4"/>
      <c r="BX1634" s="4"/>
      <c r="BY1634" s="4"/>
      <c r="BZ1634" s="4"/>
      <c r="CA1634" s="4"/>
      <c r="CB1634" s="4"/>
      <c r="CC1634" s="4"/>
      <c r="CD1634" s="4"/>
      <c r="CE1634" s="4"/>
      <c r="CF1634" s="4"/>
      <c r="CG1634" s="4"/>
      <c r="CH1634" s="4"/>
    </row>
    <row r="1635" spans="1:86" s="3" customFormat="1" ht="39.200000000000003" customHeight="1" x14ac:dyDescent="0.25">
      <c r="A1635" s="2232"/>
      <c r="B1635" s="2232"/>
      <c r="C1635" s="2232"/>
      <c r="D1635" s="2232"/>
      <c r="E1635" s="2232"/>
      <c r="F1635" s="2232"/>
      <c r="G1635" s="2232"/>
      <c r="H1635" s="2232"/>
      <c r="I1635" s="2232"/>
      <c r="J1635" s="287" t="s">
        <v>1043</v>
      </c>
      <c r="K1635" s="283"/>
      <c r="L1635" s="284" t="s">
        <v>1044</v>
      </c>
      <c r="M1635" s="283"/>
      <c r="N1635" s="286"/>
      <c r="O1635" s="286"/>
      <c r="P1635" s="287" t="s">
        <v>1043</v>
      </c>
      <c r="Q1635" s="283"/>
      <c r="R1635" s="284" t="s">
        <v>1044</v>
      </c>
      <c r="S1635" s="283"/>
      <c r="T1635" s="286"/>
      <c r="U1635" s="286"/>
      <c r="V1635" s="287" t="s">
        <v>1043</v>
      </c>
      <c r="W1635" s="283"/>
      <c r="X1635" s="284" t="s">
        <v>1044</v>
      </c>
      <c r="Y1635" s="283"/>
      <c r="Z1635" s="286"/>
      <c r="AA1635" s="286"/>
      <c r="AB1635" s="287" t="s">
        <v>1043</v>
      </c>
      <c r="AC1635" s="283"/>
      <c r="AD1635" s="284" t="s">
        <v>1044</v>
      </c>
      <c r="AE1635" s="283"/>
      <c r="AF1635" s="286"/>
      <c r="AG1635" s="286"/>
      <c r="AH1635" s="287" t="s">
        <v>1043</v>
      </c>
      <c r="AI1635" s="283"/>
      <c r="AJ1635" s="284" t="s">
        <v>1044</v>
      </c>
      <c r="AK1635" s="283"/>
      <c r="AL1635" s="286"/>
      <c r="AM1635" s="286"/>
      <c r="AN1635" s="287" t="s">
        <v>1043</v>
      </c>
      <c r="AO1635" s="283"/>
      <c r="AP1635" s="284" t="s">
        <v>1044</v>
      </c>
      <c r="AQ1635" s="283"/>
      <c r="AR1635" s="286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  <c r="CG1635" s="4"/>
      <c r="CH1635" s="4"/>
    </row>
    <row r="1636" spans="1:86" s="3" customFormat="1" ht="91.9" customHeight="1" x14ac:dyDescent="0.25">
      <c r="A1636" s="2232"/>
      <c r="B1636" s="2232"/>
      <c r="C1636" s="2232"/>
      <c r="D1636" s="2232"/>
      <c r="E1636" s="2232"/>
      <c r="F1636" s="2232"/>
      <c r="G1636" s="2232"/>
      <c r="H1636" s="2232"/>
      <c r="I1636" s="2232"/>
      <c r="J1636" s="287" t="s">
        <v>1046</v>
      </c>
      <c r="K1636" s="283"/>
      <c r="L1636" s="284" t="s">
        <v>1045</v>
      </c>
      <c r="M1636" s="283"/>
      <c r="N1636" s="286"/>
      <c r="O1636" s="286"/>
      <c r="P1636" s="287" t="s">
        <v>1046</v>
      </c>
      <c r="Q1636" s="283"/>
      <c r="R1636" s="284" t="s">
        <v>1045</v>
      </c>
      <c r="S1636" s="283"/>
      <c r="T1636" s="286"/>
      <c r="U1636" s="286"/>
      <c r="V1636" s="287" t="s">
        <v>1046</v>
      </c>
      <c r="W1636" s="283"/>
      <c r="X1636" s="284" t="s">
        <v>1045</v>
      </c>
      <c r="Y1636" s="283"/>
      <c r="Z1636" s="286"/>
      <c r="AA1636" s="286"/>
      <c r="AB1636" s="287" t="s">
        <v>1046</v>
      </c>
      <c r="AC1636" s="283"/>
      <c r="AD1636" s="284" t="s">
        <v>1045</v>
      </c>
      <c r="AE1636" s="283"/>
      <c r="AF1636" s="286"/>
      <c r="AG1636" s="286"/>
      <c r="AH1636" s="287" t="s">
        <v>1046</v>
      </c>
      <c r="AI1636" s="283"/>
      <c r="AJ1636" s="284" t="s">
        <v>1045</v>
      </c>
      <c r="AK1636" s="283"/>
      <c r="AL1636" s="286"/>
      <c r="AM1636" s="286"/>
      <c r="AN1636" s="287" t="s">
        <v>1046</v>
      </c>
      <c r="AO1636" s="283"/>
      <c r="AP1636" s="284" t="s">
        <v>1045</v>
      </c>
      <c r="AQ1636" s="283"/>
      <c r="AR1636" s="286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4"/>
      <c r="CD1636" s="4"/>
      <c r="CE1636" s="4"/>
      <c r="CF1636" s="4"/>
      <c r="CG1636" s="4"/>
      <c r="CH1636" s="4"/>
    </row>
    <row r="1638" spans="1:86" ht="20.65" customHeight="1" x14ac:dyDescent="0.3">
      <c r="B1638" s="459" t="s">
        <v>1127</v>
      </c>
    </row>
    <row r="1639" spans="1:86" ht="20.25" x14ac:dyDescent="0.3">
      <c r="B1639" s="459"/>
    </row>
    <row r="1648" spans="1:86" ht="62.65" hidden="1" customHeight="1" thickBot="1" x14ac:dyDescent="0.3">
      <c r="A1648" s="1803" t="s">
        <v>1066</v>
      </c>
      <c r="B1648" s="1804"/>
      <c r="C1648" s="1804"/>
      <c r="D1648" s="1804"/>
      <c r="E1648" s="1804"/>
      <c r="F1648" s="1804"/>
      <c r="G1648" s="1805"/>
      <c r="H1648" s="445"/>
      <c r="I1648" s="132"/>
      <c r="J1648" s="132"/>
      <c r="K1648" s="442"/>
      <c r="L1648" s="442"/>
      <c r="M1648" s="414"/>
    </row>
    <row r="1649" spans="1:13" ht="15.75" hidden="1" x14ac:dyDescent="0.25">
      <c r="A1649" s="1262">
        <v>30</v>
      </c>
      <c r="B1649" s="1246">
        <v>3407140</v>
      </c>
      <c r="C1649" s="1794" t="s">
        <v>1071</v>
      </c>
      <c r="D1649" s="1348">
        <v>5.5060000000000002</v>
      </c>
      <c r="E1649" s="1795">
        <v>42657</v>
      </c>
      <c r="F1649" s="1348">
        <v>5.5060000000000002</v>
      </c>
      <c r="G1649" s="1587">
        <v>42657</v>
      </c>
      <c r="H1649" s="1782" t="s">
        <v>1072</v>
      </c>
      <c r="I1649" s="1782" t="s">
        <v>1073</v>
      </c>
      <c r="J1649" s="1782" t="s">
        <v>1067</v>
      </c>
      <c r="K1649" s="444">
        <f>47.2</f>
        <v>47.2</v>
      </c>
      <c r="L1649" s="446" t="s">
        <v>852</v>
      </c>
      <c r="M1649" s="1784">
        <f>219165.36498-20263.31919+20263.31919+11535.01921-1066.49048+1066.49048+0.00081</f>
        <v>230700.38500000001</v>
      </c>
    </row>
    <row r="1650" spans="1:13" ht="15.75" hidden="1" x14ac:dyDescent="0.25">
      <c r="A1650" s="1253"/>
      <c r="B1650" s="1220"/>
      <c r="C1650" s="1633"/>
      <c r="D1650" s="1576"/>
      <c r="E1650" s="1557"/>
      <c r="F1650" s="1576"/>
      <c r="G1650" s="1559"/>
      <c r="H1650" s="1783"/>
      <c r="I1650" s="1783"/>
      <c r="J1650" s="1783"/>
      <c r="K1650" s="443">
        <f>0.54</f>
        <v>0.54</v>
      </c>
      <c r="L1650" s="443" t="s">
        <v>2</v>
      </c>
      <c r="M1650" s="1785"/>
    </row>
    <row r="1651" spans="1:13" ht="16.5" hidden="1" thickBot="1" x14ac:dyDescent="0.3">
      <c r="A1651" s="1254"/>
      <c r="B1651" s="1236"/>
      <c r="C1651" s="1631"/>
      <c r="D1651" s="1349"/>
      <c r="E1651" s="1796"/>
      <c r="F1651" s="1349"/>
      <c r="G1651" s="1588"/>
      <c r="H1651" s="1640"/>
      <c r="I1651" s="1640"/>
      <c r="J1651" s="1640"/>
      <c r="K1651" s="398">
        <f>7955</f>
        <v>7955</v>
      </c>
      <c r="L1651" s="447" t="s">
        <v>4</v>
      </c>
      <c r="M1651" s="1786"/>
    </row>
  </sheetData>
  <mergeCells count="5483">
    <mergeCell ref="A1072:A1073"/>
    <mergeCell ref="Z1072:Z1073"/>
    <mergeCell ref="AA1072:AA1073"/>
    <mergeCell ref="AB1072:AB1073"/>
    <mergeCell ref="AE1072:AE1073"/>
    <mergeCell ref="C1072:C1073"/>
    <mergeCell ref="D1072:D1073"/>
    <mergeCell ref="E1072:E1073"/>
    <mergeCell ref="F1072:F1073"/>
    <mergeCell ref="G1072:G1073"/>
    <mergeCell ref="B1072:B1073"/>
    <mergeCell ref="Z1267:Z1268"/>
    <mergeCell ref="AA1267:AA1268"/>
    <mergeCell ref="AB1267:AB1268"/>
    <mergeCell ref="AE1267:AE1268"/>
    <mergeCell ref="Z1299:Z1300"/>
    <mergeCell ref="AA1299:AA1300"/>
    <mergeCell ref="AB1299:AB1300"/>
    <mergeCell ref="AE1299:AE1300"/>
    <mergeCell ref="O1102:O1103"/>
    <mergeCell ref="E1107:E1109"/>
    <mergeCell ref="G1102:G1103"/>
    <mergeCell ref="F1102:F1103"/>
    <mergeCell ref="E1081:E1083"/>
    <mergeCell ref="D1123:D1127"/>
    <mergeCell ref="E1123:E1127"/>
    <mergeCell ref="E1131:E1133"/>
    <mergeCell ref="F1131:F1133"/>
    <mergeCell ref="G1131:G1133"/>
    <mergeCell ref="F1104:F1106"/>
    <mergeCell ref="D1104:D1106"/>
    <mergeCell ref="G1113:G1114"/>
    <mergeCell ref="AF432:AF433"/>
    <mergeCell ref="AG432:AG433"/>
    <mergeCell ref="AH432:AH433"/>
    <mergeCell ref="AK432:AK433"/>
    <mergeCell ref="A1574:A1575"/>
    <mergeCell ref="C1574:C1575"/>
    <mergeCell ref="D1574:D1575"/>
    <mergeCell ref="E1574:E1575"/>
    <mergeCell ref="F1574:F1575"/>
    <mergeCell ref="G1574:G1575"/>
    <mergeCell ref="AR1574:AR1575"/>
    <mergeCell ref="A841:A842"/>
    <mergeCell ref="B841:B842"/>
    <mergeCell ref="C841:C842"/>
    <mergeCell ref="D841:D842"/>
    <mergeCell ref="E841:E842"/>
    <mergeCell ref="F841:F842"/>
    <mergeCell ref="G841:G842"/>
    <mergeCell ref="T841:T842"/>
    <mergeCell ref="U841:U842"/>
    <mergeCell ref="Z841:Z842"/>
    <mergeCell ref="AA841:AA842"/>
    <mergeCell ref="AB841:AB842"/>
    <mergeCell ref="AE841:AE842"/>
    <mergeCell ref="A843:A844"/>
    <mergeCell ref="B843:B844"/>
    <mergeCell ref="C843:C844"/>
    <mergeCell ref="D843:D844"/>
    <mergeCell ref="E843:E844"/>
    <mergeCell ref="F843:F844"/>
    <mergeCell ref="G843:G844"/>
    <mergeCell ref="T843:T844"/>
    <mergeCell ref="Z81:Z82"/>
    <mergeCell ref="AA81:AA82"/>
    <mergeCell ref="AB81:AB82"/>
    <mergeCell ref="AE81:AE82"/>
    <mergeCell ref="A430:A431"/>
    <mergeCell ref="A432:A433"/>
    <mergeCell ref="G432:G433"/>
    <mergeCell ref="F432:F433"/>
    <mergeCell ref="G430:G431"/>
    <mergeCell ref="F430:F431"/>
    <mergeCell ref="E432:E433"/>
    <mergeCell ref="E430:E431"/>
    <mergeCell ref="D432:D433"/>
    <mergeCell ref="D430:D431"/>
    <mergeCell ref="C432:C433"/>
    <mergeCell ref="C430:C431"/>
    <mergeCell ref="B432:B433"/>
    <mergeCell ref="B430:B431"/>
    <mergeCell ref="Z430:Z431"/>
    <mergeCell ref="AA430:AA431"/>
    <mergeCell ref="AB430:AB431"/>
    <mergeCell ref="AE430:AE431"/>
    <mergeCell ref="Z432:Z433"/>
    <mergeCell ref="AA432:AA433"/>
    <mergeCell ref="AB432:AB433"/>
    <mergeCell ref="AE432:AE433"/>
    <mergeCell ref="G116:G122"/>
    <mergeCell ref="F116:F122"/>
    <mergeCell ref="E116:E122"/>
    <mergeCell ref="D116:D122"/>
    <mergeCell ref="G111:G115"/>
    <mergeCell ref="F111:F115"/>
    <mergeCell ref="E111:E115"/>
    <mergeCell ref="D111:D115"/>
    <mergeCell ref="C111:C115"/>
    <mergeCell ref="B111:B115"/>
    <mergeCell ref="A111:A115"/>
    <mergeCell ref="A90:A91"/>
    <mergeCell ref="A85:A87"/>
    <mergeCell ref="A88:A89"/>
    <mergeCell ref="B92:B101"/>
    <mergeCell ref="A92:A101"/>
    <mergeCell ref="C102:C106"/>
    <mergeCell ref="B102:B106"/>
    <mergeCell ref="A102:A106"/>
    <mergeCell ref="C92:C101"/>
    <mergeCell ref="B107:B110"/>
    <mergeCell ref="T427:T428"/>
    <mergeCell ref="U427:U428"/>
    <mergeCell ref="V427:V428"/>
    <mergeCell ref="Y427:Y428"/>
    <mergeCell ref="G10:G18"/>
    <mergeCell ref="F10:F18"/>
    <mergeCell ref="E10:E18"/>
    <mergeCell ref="D10:D18"/>
    <mergeCell ref="B10:B18"/>
    <mergeCell ref="A10:A18"/>
    <mergeCell ref="C10:C18"/>
    <mergeCell ref="G22:G25"/>
    <mergeCell ref="F22:F25"/>
    <mergeCell ref="E22:E25"/>
    <mergeCell ref="D22:D25"/>
    <mergeCell ref="C22:C25"/>
    <mergeCell ref="B22:B25"/>
    <mergeCell ref="A22:A25"/>
    <mergeCell ref="G26:G29"/>
    <mergeCell ref="F26:F29"/>
    <mergeCell ref="E26:E29"/>
    <mergeCell ref="D26:D29"/>
    <mergeCell ref="C26:C29"/>
    <mergeCell ref="B26:B29"/>
    <mergeCell ref="A26:A29"/>
    <mergeCell ref="A45:A48"/>
    <mergeCell ref="B45:B48"/>
    <mergeCell ref="C45:C48"/>
    <mergeCell ref="D45:D48"/>
    <mergeCell ref="E45:E48"/>
    <mergeCell ref="F45:F48"/>
    <mergeCell ref="A172:A174"/>
    <mergeCell ref="AK1344:AK1346"/>
    <mergeCell ref="AF1365:AF1367"/>
    <mergeCell ref="AL1593:AL1594"/>
    <mergeCell ref="AM1593:AM1594"/>
    <mergeCell ref="AN1593:AN1594"/>
    <mergeCell ref="AO1593:AO1594"/>
    <mergeCell ref="AP1593:AP1594"/>
    <mergeCell ref="AQ1593:AQ1594"/>
    <mergeCell ref="AR1593:AR1594"/>
    <mergeCell ref="AB1326:AB1327"/>
    <mergeCell ref="AE1326:AE1328"/>
    <mergeCell ref="AA839:AA840"/>
    <mergeCell ref="Z839:Z840"/>
    <mergeCell ref="A1593:A1594"/>
    <mergeCell ref="B1593:B1594"/>
    <mergeCell ref="C1593:C1594"/>
    <mergeCell ref="D1593:D1594"/>
    <mergeCell ref="E1593:E1594"/>
    <mergeCell ref="F1593:F1594"/>
    <mergeCell ref="G1593:G1594"/>
    <mergeCell ref="H1593:H1594"/>
    <mergeCell ref="I1593:I1594"/>
    <mergeCell ref="J1593:J1594"/>
    <mergeCell ref="K1593:K1594"/>
    <mergeCell ref="L1593:L1594"/>
    <mergeCell ref="A1062:A1063"/>
    <mergeCell ref="B1062:B1063"/>
    <mergeCell ref="C1062:C1063"/>
    <mergeCell ref="D1062:D1063"/>
    <mergeCell ref="E1062:E1063"/>
    <mergeCell ref="F1062:F1063"/>
    <mergeCell ref="G1062:G1063"/>
    <mergeCell ref="AF1347:AF1349"/>
    <mergeCell ref="AN1279:AN1280"/>
    <mergeCell ref="AH1347:AH1348"/>
    <mergeCell ref="AE1134:AE1136"/>
    <mergeCell ref="C1143:C1144"/>
    <mergeCell ref="AL1220:AL1221"/>
    <mergeCell ref="V1263:V1264"/>
    <mergeCell ref="AQ1383:AQ1384"/>
    <mergeCell ref="A1305:A1306"/>
    <mergeCell ref="B1305:B1306"/>
    <mergeCell ref="C1305:C1306"/>
    <mergeCell ref="D1305:D1306"/>
    <mergeCell ref="E1305:E1306"/>
    <mergeCell ref="F1305:F1306"/>
    <mergeCell ref="G1305:G1306"/>
    <mergeCell ref="AL1305:AL1306"/>
    <mergeCell ref="AM1305:AM1306"/>
    <mergeCell ref="AN1305:AN1306"/>
    <mergeCell ref="AQ1305:AQ1306"/>
    <mergeCell ref="AL1332:AL1334"/>
    <mergeCell ref="AM1332:AM1334"/>
    <mergeCell ref="AN1332:AN1333"/>
    <mergeCell ref="AQ1332:AQ1334"/>
    <mergeCell ref="AL1335:AL1337"/>
    <mergeCell ref="AN1335:AN1336"/>
    <mergeCell ref="AQ1335:AQ1337"/>
    <mergeCell ref="AN1320:AN1321"/>
    <mergeCell ref="AQ1320:AQ1322"/>
    <mergeCell ref="Z1312:Z1313"/>
    <mergeCell ref="AA1312:AA1313"/>
    <mergeCell ref="AB1312:AB1313"/>
    <mergeCell ref="AE1312:AE1313"/>
    <mergeCell ref="AN1176:AN1177"/>
    <mergeCell ref="AQ1176:AQ1178"/>
    <mergeCell ref="A1176:A1177"/>
    <mergeCell ref="AM1291:AM1292"/>
    <mergeCell ref="AL1291:AL1292"/>
    <mergeCell ref="AM1275:AM1276"/>
    <mergeCell ref="AL1275:AL1276"/>
    <mergeCell ref="AM1287:AM1288"/>
    <mergeCell ref="AL1287:AL1288"/>
    <mergeCell ref="AM1285:AM1286"/>
    <mergeCell ref="AL1285:AL1286"/>
    <mergeCell ref="AM1283:AM1284"/>
    <mergeCell ref="AL1283:AL1284"/>
    <mergeCell ref="A1267:A1268"/>
    <mergeCell ref="A1338:A1339"/>
    <mergeCell ref="AQ1275:AQ1276"/>
    <mergeCell ref="AQ1269:AQ1270"/>
    <mergeCell ref="AQ1281:AQ1282"/>
    <mergeCell ref="AQ1297:AQ1298"/>
    <mergeCell ref="AF1310:AF1311"/>
    <mergeCell ref="AG1310:AG1311"/>
    <mergeCell ref="A434:A435"/>
    <mergeCell ref="B434:B435"/>
    <mergeCell ref="C434:C435"/>
    <mergeCell ref="D434:D435"/>
    <mergeCell ref="E434:E435"/>
    <mergeCell ref="F434:F435"/>
    <mergeCell ref="U843:U844"/>
    <mergeCell ref="Z843:Z844"/>
    <mergeCell ref="D453:D460"/>
    <mergeCell ref="A1383:A1384"/>
    <mergeCell ref="B1383:B1384"/>
    <mergeCell ref="AL815:AL816"/>
    <mergeCell ref="AM815:AM816"/>
    <mergeCell ref="AN815:AN816"/>
    <mergeCell ref="AQ815:AQ816"/>
    <mergeCell ref="AL823:AL824"/>
    <mergeCell ref="AM823:AM824"/>
    <mergeCell ref="AN823:AN824"/>
    <mergeCell ref="AQ823:AQ824"/>
    <mergeCell ref="G837:G838"/>
    <mergeCell ref="F837:F838"/>
    <mergeCell ref="E837:E838"/>
    <mergeCell ref="D837:D838"/>
    <mergeCell ref="C837:C838"/>
    <mergeCell ref="B837:B838"/>
    <mergeCell ref="A837:A838"/>
    <mergeCell ref="AL837:AL838"/>
    <mergeCell ref="AM837:AM838"/>
    <mergeCell ref="AN837:AN838"/>
    <mergeCell ref="AQ837:AQ838"/>
    <mergeCell ref="AM1335:AM1337"/>
    <mergeCell ref="I545:I546"/>
    <mergeCell ref="E916:E918"/>
    <mergeCell ref="F916:F918"/>
    <mergeCell ref="G916:G918"/>
    <mergeCell ref="O579:O583"/>
    <mergeCell ref="B876:B878"/>
    <mergeCell ref="C809:C810"/>
    <mergeCell ref="C908:C910"/>
    <mergeCell ref="D908:D910"/>
    <mergeCell ref="A573:A578"/>
    <mergeCell ref="AJ598:AJ599"/>
    <mergeCell ref="AF605:AF606"/>
    <mergeCell ref="AK605:AK606"/>
    <mergeCell ref="B903:B905"/>
    <mergeCell ref="A522:A523"/>
    <mergeCell ref="I534:I535"/>
    <mergeCell ref="I524:I525"/>
    <mergeCell ref="D530:D531"/>
    <mergeCell ref="C530:C531"/>
    <mergeCell ref="I538:I539"/>
    <mergeCell ref="H613:H614"/>
    <mergeCell ref="I613:I614"/>
    <mergeCell ref="J613:J614"/>
    <mergeCell ref="H603:H604"/>
    <mergeCell ref="AL900:AL902"/>
    <mergeCell ref="AM900:AM902"/>
    <mergeCell ref="AN900:AN901"/>
    <mergeCell ref="AQ900:AQ902"/>
    <mergeCell ref="G799:G800"/>
    <mergeCell ref="U795:U796"/>
    <mergeCell ref="V795:V796"/>
    <mergeCell ref="A477:A479"/>
    <mergeCell ref="C518:C519"/>
    <mergeCell ref="C485:E485"/>
    <mergeCell ref="O516:O517"/>
    <mergeCell ref="Y563:Y564"/>
    <mergeCell ref="O545:O546"/>
    <mergeCell ref="C797:C798"/>
    <mergeCell ref="K605:K606"/>
    <mergeCell ref="K603:K604"/>
    <mergeCell ref="AA592:AA593"/>
    <mergeCell ref="AC592:AC593"/>
    <mergeCell ref="A559:A565"/>
    <mergeCell ref="B817:B818"/>
    <mergeCell ref="AF579:AF580"/>
    <mergeCell ref="AC573:AC574"/>
    <mergeCell ref="AE611:AE612"/>
    <mergeCell ref="H623:H624"/>
    <mergeCell ref="H615:H616"/>
    <mergeCell ref="AF1591:AF1592"/>
    <mergeCell ref="AG1591:AG1592"/>
    <mergeCell ref="AH1591:AH1592"/>
    <mergeCell ref="AK1591:AK1592"/>
    <mergeCell ref="G488:G501"/>
    <mergeCell ref="F488:F501"/>
    <mergeCell ref="E488:E501"/>
    <mergeCell ref="D488:D501"/>
    <mergeCell ref="C488:C501"/>
    <mergeCell ref="AL1128:AL1130"/>
    <mergeCell ref="AM1128:AM1130"/>
    <mergeCell ref="AQ1128:AQ1130"/>
    <mergeCell ref="AL1153:AL1155"/>
    <mergeCell ref="AM1153:AM1155"/>
    <mergeCell ref="AN1153:AN1154"/>
    <mergeCell ref="AQ1153:AQ1155"/>
    <mergeCell ref="AL897:AL899"/>
    <mergeCell ref="AM897:AM899"/>
    <mergeCell ref="G975:G976"/>
    <mergeCell ref="F975:F976"/>
    <mergeCell ref="E975:E976"/>
    <mergeCell ref="D975:D976"/>
    <mergeCell ref="AE1580:AE1581"/>
    <mergeCell ref="AE1574:AE1575"/>
    <mergeCell ref="AE1578:AE1579"/>
    <mergeCell ref="D1591:D1592"/>
    <mergeCell ref="C1591:C1592"/>
    <mergeCell ref="C817:C818"/>
    <mergeCell ref="D817:D818"/>
    <mergeCell ref="E817:E818"/>
    <mergeCell ref="F817:F818"/>
    <mergeCell ref="G817:G818"/>
    <mergeCell ref="AE1265:AE1266"/>
    <mergeCell ref="Y1265:Y1266"/>
    <mergeCell ref="U1265:U1266"/>
    <mergeCell ref="J1502:J1503"/>
    <mergeCell ref="Y1508:Y1510"/>
    <mergeCell ref="Y1517:Y1519"/>
    <mergeCell ref="Y1551:Y1553"/>
    <mergeCell ref="AA1265:AA1266"/>
    <mergeCell ref="Z1265:Z1266"/>
    <mergeCell ref="S1434:S1435"/>
    <mergeCell ref="P1436:P1437"/>
    <mergeCell ref="A1427:I1465"/>
    <mergeCell ref="M1502:M1503"/>
    <mergeCell ref="P1508:P1510"/>
    <mergeCell ref="S1508:S1510"/>
    <mergeCell ref="V1517:V1519"/>
    <mergeCell ref="J1450:J1452"/>
    <mergeCell ref="M1450:M1452"/>
    <mergeCell ref="A1344:A1345"/>
    <mergeCell ref="B1356:B1358"/>
    <mergeCell ref="Z1582:Z1583"/>
    <mergeCell ref="AA1580:AA1581"/>
    <mergeCell ref="Z1580:Z1581"/>
    <mergeCell ref="AA1574:AA1575"/>
    <mergeCell ref="Z1574:Z1575"/>
    <mergeCell ref="AA1578:AA1579"/>
    <mergeCell ref="Z1578:Z1579"/>
    <mergeCell ref="AA1576:AA1577"/>
    <mergeCell ref="Z1576:Z1577"/>
    <mergeCell ref="D1176:D1178"/>
    <mergeCell ref="V1504:V1505"/>
    <mergeCell ref="V1438:X1438"/>
    <mergeCell ref="V1439:X1439"/>
    <mergeCell ref="C1064:C1065"/>
    <mergeCell ref="Y1263:Y1264"/>
    <mergeCell ref="V1265:V1266"/>
    <mergeCell ref="AB1265:AB1266"/>
    <mergeCell ref="B1064:B1065"/>
    <mergeCell ref="A1064:A1065"/>
    <mergeCell ref="B1162:B1164"/>
    <mergeCell ref="B900:B902"/>
    <mergeCell ref="C900:C902"/>
    <mergeCell ref="A975:A976"/>
    <mergeCell ref="A946:A947"/>
    <mergeCell ref="B619:B622"/>
    <mergeCell ref="L573:L574"/>
    <mergeCell ref="G811:G812"/>
    <mergeCell ref="K573:K574"/>
    <mergeCell ref="F573:F578"/>
    <mergeCell ref="I598:I599"/>
    <mergeCell ref="J605:J606"/>
    <mergeCell ref="Z579:Z580"/>
    <mergeCell ref="AA579:AA580"/>
    <mergeCell ref="AB579:AB580"/>
    <mergeCell ref="AB573:AB574"/>
    <mergeCell ref="B795:B796"/>
    <mergeCell ref="L596:L597"/>
    <mergeCell ref="J623:J624"/>
    <mergeCell ref="K623:K624"/>
    <mergeCell ref="L623:L624"/>
    <mergeCell ref="Y586:Y587"/>
    <mergeCell ref="F1054:F1055"/>
    <mergeCell ref="B961:B963"/>
    <mergeCell ref="C1036:C1038"/>
    <mergeCell ref="D1036:D1038"/>
    <mergeCell ref="C1075:C1077"/>
    <mergeCell ref="B1075:B1077"/>
    <mergeCell ref="B1036:B1038"/>
    <mergeCell ref="E1054:E1055"/>
    <mergeCell ref="AR613:AR614"/>
    <mergeCell ref="AI613:AI614"/>
    <mergeCell ref="AJ613:AJ614"/>
    <mergeCell ref="AK613:AK614"/>
    <mergeCell ref="AL613:AL614"/>
    <mergeCell ref="AM613:AM614"/>
    <mergeCell ref="AR623:AR624"/>
    <mergeCell ref="AQ819:AQ820"/>
    <mergeCell ref="Z853:Z855"/>
    <mergeCell ref="AA853:AA855"/>
    <mergeCell ref="AB853:AB854"/>
    <mergeCell ref="AE853:AE855"/>
    <mergeCell ref="AR611:AR612"/>
    <mergeCell ref="C619:C622"/>
    <mergeCell ref="AL975:AL977"/>
    <mergeCell ref="AM975:AM977"/>
    <mergeCell ref="AL903:AL905"/>
    <mergeCell ref="AM903:AM905"/>
    <mergeCell ref="AN903:AN904"/>
    <mergeCell ref="C873:C875"/>
    <mergeCell ref="AH835:AH836"/>
    <mergeCell ref="AK835:AK836"/>
    <mergeCell ref="C821:C822"/>
    <mergeCell ref="E853:E855"/>
    <mergeCell ref="F853:F855"/>
    <mergeCell ref="C835:C836"/>
    <mergeCell ref="C833:C834"/>
    <mergeCell ref="E856:E858"/>
    <mergeCell ref="AB817:AB818"/>
    <mergeCell ref="C903:C905"/>
    <mergeCell ref="K613:K614"/>
    <mergeCell ref="L613:L614"/>
    <mergeCell ref="E946:E947"/>
    <mergeCell ref="D946:D947"/>
    <mergeCell ref="B908:B910"/>
    <mergeCell ref="AF908:AF909"/>
    <mergeCell ref="AG908:AG909"/>
    <mergeCell ref="G913:G915"/>
    <mergeCell ref="AF913:AF915"/>
    <mergeCell ref="AG913:AG915"/>
    <mergeCell ref="AH913:AH914"/>
    <mergeCell ref="G922:G924"/>
    <mergeCell ref="AK908:AK910"/>
    <mergeCell ref="B911:B912"/>
    <mergeCell ref="E908:E910"/>
    <mergeCell ref="F908:F910"/>
    <mergeCell ref="Z952:Z954"/>
    <mergeCell ref="AA952:AA954"/>
    <mergeCell ref="B1009:B1011"/>
    <mergeCell ref="C1009:C1011"/>
    <mergeCell ref="AF972:AF974"/>
    <mergeCell ref="AG972:AG974"/>
    <mergeCell ref="AK913:AK915"/>
    <mergeCell ref="C916:C918"/>
    <mergeCell ref="AF916:AF918"/>
    <mergeCell ref="B913:B915"/>
    <mergeCell ref="C913:C915"/>
    <mergeCell ref="AH916:AH917"/>
    <mergeCell ref="AK916:AK918"/>
    <mergeCell ref="AG916:AG918"/>
    <mergeCell ref="F928:F930"/>
    <mergeCell ref="G928:G930"/>
    <mergeCell ref="AF928:AF930"/>
    <mergeCell ref="B925:B927"/>
    <mergeCell ref="AF955:AF957"/>
    <mergeCell ref="AG955:AG957"/>
    <mergeCell ref="AH955:AH956"/>
    <mergeCell ref="AK955:AK957"/>
    <mergeCell ref="AF969:AF971"/>
    <mergeCell ref="AF958:AF960"/>
    <mergeCell ref="AL978:AL980"/>
    <mergeCell ref="AM978:AM980"/>
    <mergeCell ref="AH958:AH959"/>
    <mergeCell ref="AH1064:AH1065"/>
    <mergeCell ref="AK1064:AK1065"/>
    <mergeCell ref="AA1062:AA1063"/>
    <mergeCell ref="Z1062:Z1063"/>
    <mergeCell ref="G1005:G1006"/>
    <mergeCell ref="E1009:E1011"/>
    <mergeCell ref="D1059:D1061"/>
    <mergeCell ref="AG969:AG971"/>
    <mergeCell ref="AB1062:AB1063"/>
    <mergeCell ref="AE1062:AE1063"/>
    <mergeCell ref="AF1303:AF1304"/>
    <mergeCell ref="AG1303:AG1304"/>
    <mergeCell ref="AH1303:AH1304"/>
    <mergeCell ref="AK1303:AK1304"/>
    <mergeCell ref="AH1310:AH1311"/>
    <mergeCell ref="AK1310:AK1311"/>
    <mergeCell ref="B1051:B1053"/>
    <mergeCell ref="P579:P580"/>
    <mergeCell ref="D952:D953"/>
    <mergeCell ref="T1265:T1266"/>
    <mergeCell ref="G1277:G1278"/>
    <mergeCell ref="G1291:G1292"/>
    <mergeCell ref="T1308:T1309"/>
    <mergeCell ref="N1113:N1114"/>
    <mergeCell ref="F1197:F1199"/>
    <mergeCell ref="G1197:G1199"/>
    <mergeCell ref="G1064:G1065"/>
    <mergeCell ref="D797:D798"/>
    <mergeCell ref="E619:E622"/>
    <mergeCell ref="D619:D622"/>
    <mergeCell ref="C795:C796"/>
    <mergeCell ref="C1030:C1032"/>
    <mergeCell ref="C867:C869"/>
    <mergeCell ref="AG1131:AG1133"/>
    <mergeCell ref="S1102:S1103"/>
    <mergeCell ref="S1104:S1105"/>
    <mergeCell ref="Z1134:Z1136"/>
    <mergeCell ref="AA1134:AA1136"/>
    <mergeCell ref="AB1134:AB1135"/>
    <mergeCell ref="C1039:C1041"/>
    <mergeCell ref="AB952:AB953"/>
    <mergeCell ref="AE952:AE954"/>
    <mergeCell ref="A213:A214"/>
    <mergeCell ref="A952:A953"/>
    <mergeCell ref="AR1586:AR1587"/>
    <mergeCell ref="AR1584:AR1585"/>
    <mergeCell ref="Z137:Z138"/>
    <mergeCell ref="AA137:AA138"/>
    <mergeCell ref="AB137:AB138"/>
    <mergeCell ref="AE137:AE138"/>
    <mergeCell ref="AB1504:AB1505"/>
    <mergeCell ref="Z182:Z183"/>
    <mergeCell ref="AA182:AA183"/>
    <mergeCell ref="AB182:AB183"/>
    <mergeCell ref="AR141:AR142"/>
    <mergeCell ref="AR145:AR146"/>
    <mergeCell ref="AR148:AR149"/>
    <mergeCell ref="AQ536:AQ537"/>
    <mergeCell ref="AR275:AR276"/>
    <mergeCell ref="AR277:AR278"/>
    <mergeCell ref="AQ579:AQ580"/>
    <mergeCell ref="AR516:AR517"/>
    <mergeCell ref="AR592:AR593"/>
    <mergeCell ref="AG833:AG834"/>
    <mergeCell ref="AH833:AH834"/>
    <mergeCell ref="AK833:AK834"/>
    <mergeCell ref="AF835:AF836"/>
    <mergeCell ref="Z215:Z216"/>
    <mergeCell ref="AA215:AA216"/>
    <mergeCell ref="AB215:AB216"/>
    <mergeCell ref="AE215:AE216"/>
    <mergeCell ref="V1543:V1544"/>
    <mergeCell ref="A1537:I1569"/>
    <mergeCell ref="M1511:M1513"/>
    <mergeCell ref="A1589:A1590"/>
    <mergeCell ref="U175:U177"/>
    <mergeCell ref="T175:T177"/>
    <mergeCell ref="G175:G177"/>
    <mergeCell ref="F175:F177"/>
    <mergeCell ref="E175:E177"/>
    <mergeCell ref="D175:D177"/>
    <mergeCell ref="C175:C177"/>
    <mergeCell ref="B175:B177"/>
    <mergeCell ref="A175:A177"/>
    <mergeCell ref="E548:E558"/>
    <mergeCell ref="D548:D558"/>
    <mergeCell ref="C548:C558"/>
    <mergeCell ref="B548:B558"/>
    <mergeCell ref="A548:A558"/>
    <mergeCell ref="B1104:B1106"/>
    <mergeCell ref="G598:G602"/>
    <mergeCell ref="F598:F602"/>
    <mergeCell ref="E598:E602"/>
    <mergeCell ref="D598:D602"/>
    <mergeCell ref="C598:C602"/>
    <mergeCell ref="B598:B602"/>
    <mergeCell ref="A598:A602"/>
    <mergeCell ref="U598:U602"/>
    <mergeCell ref="F1005:F1006"/>
    <mergeCell ref="O1096:O1098"/>
    <mergeCell ref="N1096:N1098"/>
    <mergeCell ref="A473:A476"/>
    <mergeCell ref="E471:E472"/>
    <mergeCell ref="B289:B290"/>
    <mergeCell ref="D289:D290"/>
    <mergeCell ref="B291:B292"/>
    <mergeCell ref="P1502:P1503"/>
    <mergeCell ref="P1506:P1507"/>
    <mergeCell ref="S1506:S1507"/>
    <mergeCell ref="M1506:M1507"/>
    <mergeCell ref="S1504:S1505"/>
    <mergeCell ref="P1438:R1438"/>
    <mergeCell ref="P1439:R1439"/>
    <mergeCell ref="P1440:R1440"/>
    <mergeCell ref="A1570:V1570"/>
    <mergeCell ref="C1586:C1587"/>
    <mergeCell ref="F1576:F1577"/>
    <mergeCell ref="E1576:E1577"/>
    <mergeCell ref="D1576:D1577"/>
    <mergeCell ref="B1582:B1583"/>
    <mergeCell ref="B1580:B1581"/>
    <mergeCell ref="B1574:B1575"/>
    <mergeCell ref="V1500:V1501"/>
    <mergeCell ref="P1478:P1479"/>
    <mergeCell ref="V1450:V1452"/>
    <mergeCell ref="S1450:S1452"/>
    <mergeCell ref="A1500:I1532"/>
    <mergeCell ref="A1576:A1577"/>
    <mergeCell ref="A1578:A1579"/>
    <mergeCell ref="A1582:A1583"/>
    <mergeCell ref="A1580:A1581"/>
    <mergeCell ref="G1582:G1583"/>
    <mergeCell ref="F1582:F1583"/>
    <mergeCell ref="E1582:E1583"/>
    <mergeCell ref="D1582:D1583"/>
    <mergeCell ref="G1580:G1581"/>
    <mergeCell ref="F1580:F1581"/>
    <mergeCell ref="E1580:E1581"/>
    <mergeCell ref="A1591:A1592"/>
    <mergeCell ref="B1578:B1579"/>
    <mergeCell ref="P1537:P1538"/>
    <mergeCell ref="M1444:M1446"/>
    <mergeCell ref="J1447:J1449"/>
    <mergeCell ref="M1447:M1449"/>
    <mergeCell ref="Y1511:Y1513"/>
    <mergeCell ref="Y1554:Y1556"/>
    <mergeCell ref="P1514:P1516"/>
    <mergeCell ref="S1514:S1516"/>
    <mergeCell ref="V1514:V1516"/>
    <mergeCell ref="P1539:P1540"/>
    <mergeCell ref="M1545:M1547"/>
    <mergeCell ref="Y1539:Y1540"/>
    <mergeCell ref="Y1514:Y1516"/>
    <mergeCell ref="M1539:M1540"/>
    <mergeCell ref="J1554:J1556"/>
    <mergeCell ref="V1537:V1538"/>
    <mergeCell ref="V1541:V1542"/>
    <mergeCell ref="M1543:M1544"/>
    <mergeCell ref="M1541:M1542"/>
    <mergeCell ref="S1502:S1503"/>
    <mergeCell ref="S1500:S1501"/>
    <mergeCell ref="J1504:J1505"/>
    <mergeCell ref="J1506:J1507"/>
    <mergeCell ref="F1591:F1592"/>
    <mergeCell ref="E1591:E1592"/>
    <mergeCell ref="M1500:M1501"/>
    <mergeCell ref="P1500:P1501"/>
    <mergeCell ref="J1511:J1513"/>
    <mergeCell ref="P1511:P1513"/>
    <mergeCell ref="S1511:S1513"/>
    <mergeCell ref="V1597:V1598"/>
    <mergeCell ref="U1597:U1598"/>
    <mergeCell ref="S1597:S1598"/>
    <mergeCell ref="T1597:T1598"/>
    <mergeCell ref="F1597:F1598"/>
    <mergeCell ref="G1597:G1598"/>
    <mergeCell ref="G1595:G1596"/>
    <mergeCell ref="N1595:N1596"/>
    <mergeCell ref="O1595:O1596"/>
    <mergeCell ref="G1591:G1592"/>
    <mergeCell ref="V1554:V1556"/>
    <mergeCell ref="T1599:T1600"/>
    <mergeCell ref="U1599:U1600"/>
    <mergeCell ref="V1599:V1600"/>
    <mergeCell ref="P1548:P1550"/>
    <mergeCell ref="B1584:B1585"/>
    <mergeCell ref="C1584:C1585"/>
    <mergeCell ref="D1584:D1585"/>
    <mergeCell ref="E1584:E1585"/>
    <mergeCell ref="F1584:F1585"/>
    <mergeCell ref="G1584:G1585"/>
    <mergeCell ref="B1597:B1598"/>
    <mergeCell ref="C1597:C1598"/>
    <mergeCell ref="D1597:D1598"/>
    <mergeCell ref="E1597:E1598"/>
    <mergeCell ref="B1586:B1587"/>
    <mergeCell ref="B1591:B1592"/>
    <mergeCell ref="G1586:G1587"/>
    <mergeCell ref="D1580:D1581"/>
    <mergeCell ref="G1578:G1579"/>
    <mergeCell ref="F1578:F1579"/>
    <mergeCell ref="E1578:E1579"/>
    <mergeCell ref="V1595:V1596"/>
    <mergeCell ref="Y1502:Y1503"/>
    <mergeCell ref="AA864:AA866"/>
    <mergeCell ref="AE864:AE866"/>
    <mergeCell ref="AA870:AA872"/>
    <mergeCell ref="Z870:Z872"/>
    <mergeCell ref="AE1434:AE1435"/>
    <mergeCell ref="AB1431:AD1431"/>
    <mergeCell ref="AB603:AB604"/>
    <mergeCell ref="AC603:AC604"/>
    <mergeCell ref="AB949:AB950"/>
    <mergeCell ref="AE949:AE951"/>
    <mergeCell ref="Z1051:Z1053"/>
    <mergeCell ref="AA1051:AA1053"/>
    <mergeCell ref="AA1362:AA1364"/>
    <mergeCell ref="AB1362:AB1363"/>
    <mergeCell ref="AE1362:AE1364"/>
    <mergeCell ref="AE1502:AE1503"/>
    <mergeCell ref="AB623:AB624"/>
    <mergeCell ref="V1548:V1550"/>
    <mergeCell ref="V1511:V1513"/>
    <mergeCell ref="Y795:Y796"/>
    <mergeCell ref="AB1450:AB1452"/>
    <mergeCell ref="V1440:X1440"/>
    <mergeCell ref="V1502:V1503"/>
    <mergeCell ref="V1508:V1510"/>
    <mergeCell ref="V1308:V1309"/>
    <mergeCell ref="Y1308:Y1309"/>
    <mergeCell ref="AB1308:AB1309"/>
    <mergeCell ref="AB1582:AB1583"/>
    <mergeCell ref="AE1582:AE1583"/>
    <mergeCell ref="AA1582:AA1583"/>
    <mergeCell ref="Y269:Y270"/>
    <mergeCell ref="G584:G585"/>
    <mergeCell ref="M548:M549"/>
    <mergeCell ref="L559:L560"/>
    <mergeCell ref="M559:M560"/>
    <mergeCell ref="P1450:P1452"/>
    <mergeCell ref="M1478:M1479"/>
    <mergeCell ref="P1444:P1446"/>
    <mergeCell ref="P1447:P1449"/>
    <mergeCell ref="T598:T602"/>
    <mergeCell ref="G952:G953"/>
    <mergeCell ref="F952:F953"/>
    <mergeCell ref="F1036:F1038"/>
    <mergeCell ref="F1039:F1041"/>
    <mergeCell ref="F1045:F1047"/>
    <mergeCell ref="F1081:F1083"/>
    <mergeCell ref="U1308:U1309"/>
    <mergeCell ref="T1263:T1264"/>
    <mergeCell ref="G946:G947"/>
    <mergeCell ref="F946:F947"/>
    <mergeCell ref="G434:G435"/>
    <mergeCell ref="M522:M523"/>
    <mergeCell ref="O538:O540"/>
    <mergeCell ref="M441:M442"/>
    <mergeCell ref="M454:M455"/>
    <mergeCell ref="M514:M515"/>
    <mergeCell ref="M508:M509"/>
    <mergeCell ref="T516:T517"/>
    <mergeCell ref="V514:V515"/>
    <mergeCell ref="N566:N567"/>
    <mergeCell ref="N545:N546"/>
    <mergeCell ref="P548:P549"/>
    <mergeCell ref="AE341:AE342"/>
    <mergeCell ref="AE329:AE330"/>
    <mergeCell ref="AE321:AE322"/>
    <mergeCell ref="F473:F476"/>
    <mergeCell ref="E311:E312"/>
    <mergeCell ref="Y237:Y238"/>
    <mergeCell ref="Y285:Y286"/>
    <mergeCell ref="V225:V226"/>
    <mergeCell ref="F217:F218"/>
    <mergeCell ref="E217:E218"/>
    <mergeCell ref="J441:J442"/>
    <mergeCell ref="G255:G256"/>
    <mergeCell ref="F227:F228"/>
    <mergeCell ref="F225:F226"/>
    <mergeCell ref="F237:F238"/>
    <mergeCell ref="G241:G242"/>
    <mergeCell ref="U289:U290"/>
    <mergeCell ref="V251:V252"/>
    <mergeCell ref="Y243:Y244"/>
    <mergeCell ref="Y273:Y274"/>
    <mergeCell ref="Y281:Y282"/>
    <mergeCell ref="U259:U260"/>
    <mergeCell ref="G235:G236"/>
    <mergeCell ref="F235:F236"/>
    <mergeCell ref="Y253:Y254"/>
    <mergeCell ref="Y267:Y268"/>
    <mergeCell ref="U311:U312"/>
    <mergeCell ref="N441:N448"/>
    <mergeCell ref="F329:F330"/>
    <mergeCell ref="H453:H460"/>
    <mergeCell ref="U243:U244"/>
    <mergeCell ref="G427:G428"/>
    <mergeCell ref="AA213:AA214"/>
    <mergeCell ref="AB213:AB214"/>
    <mergeCell ref="B237:B238"/>
    <mergeCell ref="G215:G216"/>
    <mergeCell ref="F215:F216"/>
    <mergeCell ref="G502:G507"/>
    <mergeCell ref="F502:F507"/>
    <mergeCell ref="E502:E507"/>
    <mergeCell ref="D502:D507"/>
    <mergeCell ref="B502:B507"/>
    <mergeCell ref="C502:C507"/>
    <mergeCell ref="A502:A507"/>
    <mergeCell ref="F520:F521"/>
    <mergeCell ref="A520:A521"/>
    <mergeCell ref="A465:A466"/>
    <mergeCell ref="F471:F472"/>
    <mergeCell ref="A452:G452"/>
    <mergeCell ref="A518:A519"/>
    <mergeCell ref="C329:C330"/>
    <mergeCell ref="C394:C395"/>
    <mergeCell ref="B394:B395"/>
    <mergeCell ref="A394:A395"/>
    <mergeCell ref="B341:B342"/>
    <mergeCell ref="C473:C476"/>
    <mergeCell ref="B473:B476"/>
    <mergeCell ref="E465:E466"/>
    <mergeCell ref="A329:A330"/>
    <mergeCell ref="C453:C460"/>
    <mergeCell ref="A438:G438"/>
    <mergeCell ref="Y287:Y288"/>
    <mergeCell ref="Y289:Y290"/>
    <mergeCell ref="A427:A428"/>
    <mergeCell ref="E273:E274"/>
    <mergeCell ref="G301:G302"/>
    <mergeCell ref="G441:G448"/>
    <mergeCell ref="E341:E342"/>
    <mergeCell ref="G453:G460"/>
    <mergeCell ref="E329:E330"/>
    <mergeCell ref="B465:B466"/>
    <mergeCell ref="C464:E464"/>
    <mergeCell ref="G471:G472"/>
    <mergeCell ref="C471:C472"/>
    <mergeCell ref="H518:H519"/>
    <mergeCell ref="H534:H535"/>
    <mergeCell ref="G530:G531"/>
    <mergeCell ref="I530:I531"/>
    <mergeCell ref="B522:B523"/>
    <mergeCell ref="E522:E523"/>
    <mergeCell ref="A436:A437"/>
    <mergeCell ref="B436:B437"/>
    <mergeCell ref="C436:C437"/>
    <mergeCell ref="D436:D437"/>
    <mergeCell ref="E436:E437"/>
    <mergeCell ref="A453:A460"/>
    <mergeCell ref="C462:E462"/>
    <mergeCell ref="A488:A501"/>
    <mergeCell ref="A532:A535"/>
    <mergeCell ref="I488:I489"/>
    <mergeCell ref="H488:H489"/>
    <mergeCell ref="I520:I521"/>
    <mergeCell ref="H522:H523"/>
    <mergeCell ref="H520:H521"/>
    <mergeCell ref="H530:H531"/>
    <mergeCell ref="I490:I494"/>
    <mergeCell ref="A536:A537"/>
    <mergeCell ref="C524:C529"/>
    <mergeCell ref="A524:A529"/>
    <mergeCell ref="B532:B535"/>
    <mergeCell ref="C538:C540"/>
    <mergeCell ref="C536:C537"/>
    <mergeCell ref="E536:E537"/>
    <mergeCell ref="E518:E519"/>
    <mergeCell ref="D520:D521"/>
    <mergeCell ref="B518:B519"/>
    <mergeCell ref="C520:C521"/>
    <mergeCell ref="B520:B521"/>
    <mergeCell ref="C486:E486"/>
    <mergeCell ref="C514:C517"/>
    <mergeCell ref="A530:A531"/>
    <mergeCell ref="D532:D535"/>
    <mergeCell ref="D536:D537"/>
    <mergeCell ref="D524:D529"/>
    <mergeCell ref="E520:E521"/>
    <mergeCell ref="D522:D523"/>
    <mergeCell ref="E524:E529"/>
    <mergeCell ref="A211:A212"/>
    <mergeCell ref="G213:G214"/>
    <mergeCell ref="B231:B232"/>
    <mergeCell ref="D518:D519"/>
    <mergeCell ref="A321:A322"/>
    <mergeCell ref="A311:A312"/>
    <mergeCell ref="F301:F302"/>
    <mergeCell ref="F231:F232"/>
    <mergeCell ref="B311:B312"/>
    <mergeCell ref="D311:D312"/>
    <mergeCell ref="G275:G276"/>
    <mergeCell ref="A221:A222"/>
    <mergeCell ref="B514:B517"/>
    <mergeCell ref="C311:C312"/>
    <mergeCell ref="B305:B306"/>
    <mergeCell ref="D273:D274"/>
    <mergeCell ref="G211:G212"/>
    <mergeCell ref="B453:B460"/>
    <mergeCell ref="G329:G330"/>
    <mergeCell ref="C211:C212"/>
    <mergeCell ref="E215:E216"/>
    <mergeCell ref="G247:G248"/>
    <mergeCell ref="A215:A216"/>
    <mergeCell ref="D329:D330"/>
    <mergeCell ref="A439:G439"/>
    <mergeCell ref="G321:G322"/>
    <mergeCell ref="F311:F312"/>
    <mergeCell ref="B211:B212"/>
    <mergeCell ref="G477:G479"/>
    <mergeCell ref="A341:A342"/>
    <mergeCell ref="A217:A218"/>
    <mergeCell ref="G285:G286"/>
    <mergeCell ref="C203:C204"/>
    <mergeCell ref="C201:C202"/>
    <mergeCell ref="D209:D210"/>
    <mergeCell ref="G217:G218"/>
    <mergeCell ref="E231:E232"/>
    <mergeCell ref="F275:F276"/>
    <mergeCell ref="G221:G222"/>
    <mergeCell ref="C215:C216"/>
    <mergeCell ref="G201:G202"/>
    <mergeCell ref="F201:F202"/>
    <mergeCell ref="D215:D216"/>
    <mergeCell ref="C191:C192"/>
    <mergeCell ref="F211:F212"/>
    <mergeCell ref="E211:E212"/>
    <mergeCell ref="D211:D212"/>
    <mergeCell ref="G239:G240"/>
    <mergeCell ref="F239:F240"/>
    <mergeCell ref="F199:F200"/>
    <mergeCell ref="E199:E200"/>
    <mergeCell ref="G199:G200"/>
    <mergeCell ref="G209:G210"/>
    <mergeCell ref="E201:E202"/>
    <mergeCell ref="D201:D202"/>
    <mergeCell ref="G207:G208"/>
    <mergeCell ref="F207:F208"/>
    <mergeCell ref="E207:E208"/>
    <mergeCell ref="D207:D208"/>
    <mergeCell ref="G205:G206"/>
    <mergeCell ref="C209:C210"/>
    <mergeCell ref="C245:C246"/>
    <mergeCell ref="D205:D206"/>
    <mergeCell ref="G261:G262"/>
    <mergeCell ref="G197:G198"/>
    <mergeCell ref="E168:E169"/>
    <mergeCell ref="E170:E171"/>
    <mergeCell ref="G193:G194"/>
    <mergeCell ref="G168:G169"/>
    <mergeCell ref="G166:G167"/>
    <mergeCell ref="E189:E190"/>
    <mergeCell ref="G172:G174"/>
    <mergeCell ref="F172:F174"/>
    <mergeCell ref="E172:E174"/>
    <mergeCell ref="D172:D174"/>
    <mergeCell ref="E195:E196"/>
    <mergeCell ref="D195:D196"/>
    <mergeCell ref="D197:D198"/>
    <mergeCell ref="D191:D192"/>
    <mergeCell ref="D193:D194"/>
    <mergeCell ref="B191:B192"/>
    <mergeCell ref="E193:E194"/>
    <mergeCell ref="G195:G196"/>
    <mergeCell ref="N182:N183"/>
    <mergeCell ref="A168:A169"/>
    <mergeCell ref="B170:B171"/>
    <mergeCell ref="C170:C171"/>
    <mergeCell ref="C168:C169"/>
    <mergeCell ref="A166:A167"/>
    <mergeCell ref="G178:G181"/>
    <mergeCell ref="G186:G188"/>
    <mergeCell ref="F186:F188"/>
    <mergeCell ref="B186:B188"/>
    <mergeCell ref="A186:A188"/>
    <mergeCell ref="N164:N165"/>
    <mergeCell ref="N186:N187"/>
    <mergeCell ref="C186:C188"/>
    <mergeCell ref="C172:C174"/>
    <mergeCell ref="B172:B174"/>
    <mergeCell ref="F193:F194"/>
    <mergeCell ref="G182:G183"/>
    <mergeCell ref="G184:G185"/>
    <mergeCell ref="G191:G192"/>
    <mergeCell ref="F191:F192"/>
    <mergeCell ref="E191:E192"/>
    <mergeCell ref="N148:N151"/>
    <mergeCell ref="C148:C151"/>
    <mergeCell ref="N123:N127"/>
    <mergeCell ref="O129:O133"/>
    <mergeCell ref="N129:N133"/>
    <mergeCell ref="N152:N154"/>
    <mergeCell ref="O141:O144"/>
    <mergeCell ref="O148:O151"/>
    <mergeCell ref="O152:O154"/>
    <mergeCell ref="E148:E151"/>
    <mergeCell ref="G152:G155"/>
    <mergeCell ref="F152:F155"/>
    <mergeCell ref="E152:E155"/>
    <mergeCell ref="D152:D155"/>
    <mergeCell ref="C152:C155"/>
    <mergeCell ref="A178:A181"/>
    <mergeCell ref="D168:D169"/>
    <mergeCell ref="F168:F169"/>
    <mergeCell ref="F166:F167"/>
    <mergeCell ref="D166:D167"/>
    <mergeCell ref="E160:E163"/>
    <mergeCell ref="D148:D151"/>
    <mergeCell ref="G123:G128"/>
    <mergeCell ref="F123:F128"/>
    <mergeCell ref="E123:E128"/>
    <mergeCell ref="D123:D128"/>
    <mergeCell ref="C123:C128"/>
    <mergeCell ref="B123:B128"/>
    <mergeCell ref="A123:A128"/>
    <mergeCell ref="G129:G136"/>
    <mergeCell ref="F129:F136"/>
    <mergeCell ref="E129:E136"/>
    <mergeCell ref="AR207:AR208"/>
    <mergeCell ref="AR160:AR161"/>
    <mergeCell ref="Y207:Y208"/>
    <mergeCell ref="Y205:Y206"/>
    <mergeCell ref="Y203:Y204"/>
    <mergeCell ref="Y201:Y202"/>
    <mergeCell ref="Y199:Y200"/>
    <mergeCell ref="O160:O163"/>
    <mergeCell ref="Y191:Y192"/>
    <mergeCell ref="AE182:AE183"/>
    <mergeCell ref="AR152:AR153"/>
    <mergeCell ref="T168:T169"/>
    <mergeCell ref="AA184:AA185"/>
    <mergeCell ref="AB184:AB185"/>
    <mergeCell ref="V166:V167"/>
    <mergeCell ref="V186:V187"/>
    <mergeCell ref="AR193:AR194"/>
    <mergeCell ref="AR195:AR196"/>
    <mergeCell ref="AR186:AR187"/>
    <mergeCell ref="AR184:AR185"/>
    <mergeCell ref="S152:S153"/>
    <mergeCell ref="U203:U204"/>
    <mergeCell ref="Y166:Y167"/>
    <mergeCell ref="T189:T190"/>
    <mergeCell ref="U166:U167"/>
    <mergeCell ref="V178:V179"/>
    <mergeCell ref="AR175:AR176"/>
    <mergeCell ref="AR178:AR179"/>
    <mergeCell ref="V199:V200"/>
    <mergeCell ref="V201:V202"/>
    <mergeCell ref="AR168:AR169"/>
    <mergeCell ref="AR172:AR173"/>
    <mergeCell ref="AR137:AR138"/>
    <mergeCell ref="AE184:AE185"/>
    <mergeCell ref="G164:G165"/>
    <mergeCell ref="AR605:AR606"/>
    <mergeCell ref="AR231:AR232"/>
    <mergeCell ref="AR233:AR234"/>
    <mergeCell ref="AR235:AR236"/>
    <mergeCell ref="AR508:AR509"/>
    <mergeCell ref="AR573:AR574"/>
    <mergeCell ref="AR510:AR511"/>
    <mergeCell ref="AR518:AR519"/>
    <mergeCell ref="AR534:AR535"/>
    <mergeCell ref="AR559:AR560"/>
    <mergeCell ref="AR279:AR280"/>
    <mergeCell ref="AR281:AR282"/>
    <mergeCell ref="AR283:AR284"/>
    <mergeCell ref="AR249:AR250"/>
    <mergeCell ref="AR251:AR252"/>
    <mergeCell ref="AR590:AR591"/>
    <mergeCell ref="AE541:AE542"/>
    <mergeCell ref="AK541:AK542"/>
    <mergeCell ref="AR271:AR272"/>
    <mergeCell ref="AR273:AR274"/>
    <mergeCell ref="AH536:AH537"/>
    <mergeCell ref="AP536:AP537"/>
    <mergeCell ref="Y219:Y220"/>
    <mergeCell ref="AR215:AR216"/>
    <mergeCell ref="V273:V274"/>
    <mergeCell ref="AR504:AR505"/>
    <mergeCell ref="AR217:AR218"/>
    <mergeCell ref="AR219:AR220"/>
    <mergeCell ref="AR221:AR222"/>
    <mergeCell ref="AR259:AR260"/>
    <mergeCell ref="AR261:AR262"/>
    <mergeCell ref="AR265:AR266"/>
    <mergeCell ref="AR267:AR268"/>
    <mergeCell ref="AR291:AR292"/>
    <mergeCell ref="AR301:AR302"/>
    <mergeCell ref="AE213:AE214"/>
    <mergeCell ref="AE301:AE302"/>
    <mergeCell ref="AE291:AE292"/>
    <mergeCell ref="AH1502:AH1503"/>
    <mergeCell ref="AK1502:AK1503"/>
    <mergeCell ref="AQ1502:AQ1503"/>
    <mergeCell ref="AM541:AM542"/>
    <mergeCell ref="AN541:AN542"/>
    <mergeCell ref="AO541:AO542"/>
    <mergeCell ref="AH1504:AH1505"/>
    <mergeCell ref="AK1504:AK1505"/>
    <mergeCell ref="AN1504:AN1505"/>
    <mergeCell ref="AQ1504:AQ1505"/>
    <mergeCell ref="AO613:AO614"/>
    <mergeCell ref="AE538:AE539"/>
    <mergeCell ref="AF1377:AF1379"/>
    <mergeCell ref="AR453:AR460"/>
    <mergeCell ref="AR473:AR474"/>
    <mergeCell ref="AR570:AR571"/>
    <mergeCell ref="AE1504:AE1505"/>
    <mergeCell ref="AH596:AH597"/>
    <mergeCell ref="AM605:AM606"/>
    <mergeCell ref="AN605:AN606"/>
    <mergeCell ref="AE1500:AE1501"/>
    <mergeCell ref="AQ1432:AQ1433"/>
    <mergeCell ref="AQ613:AQ614"/>
    <mergeCell ref="Z329:Z330"/>
    <mergeCell ref="AB329:AB330"/>
    <mergeCell ref="AB321:AB322"/>
    <mergeCell ref="AA305:AA306"/>
    <mergeCell ref="AB305:AB306"/>
    <mergeCell ref="AC541:AC542"/>
    <mergeCell ref="AD541:AD542"/>
    <mergeCell ref="S441:S442"/>
    <mergeCell ref="S526:S527"/>
    <mergeCell ref="AA538:AA539"/>
    <mergeCell ref="T536:T537"/>
    <mergeCell ref="P473:P474"/>
    <mergeCell ref="AA329:AA330"/>
    <mergeCell ref="Y311:Y312"/>
    <mergeCell ref="AR209:AR210"/>
    <mergeCell ref="AR211:AR212"/>
    <mergeCell ref="AR213:AR214"/>
    <mergeCell ref="AN538:AN539"/>
    <mergeCell ref="AC538:AC539"/>
    <mergeCell ref="AR305:AR306"/>
    <mergeCell ref="AR311:AR312"/>
    <mergeCell ref="AR321:AR322"/>
    <mergeCell ref="AR329:AR330"/>
    <mergeCell ref="AR341:AR342"/>
    <mergeCell ref="AR287:AR288"/>
    <mergeCell ref="AR289:AR290"/>
    <mergeCell ref="AR502:AR503"/>
    <mergeCell ref="AR538:AR539"/>
    <mergeCell ref="AR285:AR286"/>
    <mergeCell ref="AR253:AR254"/>
    <mergeCell ref="AR223:AR224"/>
    <mergeCell ref="AR225:AR226"/>
    <mergeCell ref="AR563:AR564"/>
    <mergeCell ref="AR478:AR479"/>
    <mergeCell ref="AA341:AA342"/>
    <mergeCell ref="AA516:AA517"/>
    <mergeCell ref="AF538:AF539"/>
    <mergeCell ref="AH538:AH539"/>
    <mergeCell ref="AF541:AF542"/>
    <mergeCell ref="U394:U395"/>
    <mergeCell ref="T394:T395"/>
    <mergeCell ref="AE516:AE517"/>
    <mergeCell ref="O441:O448"/>
    <mergeCell ref="N538:N540"/>
    <mergeCell ref="AL536:AL537"/>
    <mergeCell ref="AJ541:AJ542"/>
    <mergeCell ref="AK536:AK537"/>
    <mergeCell ref="AB341:AB342"/>
    <mergeCell ref="V552:V553"/>
    <mergeCell ref="Y555:Y556"/>
    <mergeCell ref="AB536:AB537"/>
    <mergeCell ref="P490:P491"/>
    <mergeCell ref="P516:P517"/>
    <mergeCell ref="P526:P527"/>
    <mergeCell ref="P441:P442"/>
    <mergeCell ref="AR541:AR542"/>
    <mergeCell ref="AR434:AR435"/>
    <mergeCell ref="AE536:AE537"/>
    <mergeCell ref="Y514:Y515"/>
    <mergeCell ref="O559:O562"/>
    <mergeCell ref="N559:N562"/>
    <mergeCell ref="O504:O505"/>
    <mergeCell ref="N514:N515"/>
    <mergeCell ref="AR436:AR437"/>
    <mergeCell ref="J573:J574"/>
    <mergeCell ref="AI541:AI542"/>
    <mergeCell ref="AB516:AB517"/>
    <mergeCell ref="Z514:Z515"/>
    <mergeCell ref="AA536:AA537"/>
    <mergeCell ref="AD536:AD537"/>
    <mergeCell ref="W536:W537"/>
    <mergeCell ref="X536:X537"/>
    <mergeCell ref="AG538:AG539"/>
    <mergeCell ref="Z516:Z517"/>
    <mergeCell ref="M524:M525"/>
    <mergeCell ref="M465:M466"/>
    <mergeCell ref="V516:V517"/>
    <mergeCell ref="Y516:Y517"/>
    <mergeCell ref="N504:N505"/>
    <mergeCell ref="O514:O515"/>
    <mergeCell ref="AG541:AG542"/>
    <mergeCell ref="O478:O479"/>
    <mergeCell ref="O473:O474"/>
    <mergeCell ref="AA541:AA542"/>
    <mergeCell ref="M518:M519"/>
    <mergeCell ref="AE514:AE515"/>
    <mergeCell ref="N478:N479"/>
    <mergeCell ref="N490:N494"/>
    <mergeCell ref="N541:N544"/>
    <mergeCell ref="M530:M531"/>
    <mergeCell ref="O495:O497"/>
    <mergeCell ref="S490:S491"/>
    <mergeCell ref="U516:U517"/>
    <mergeCell ref="AD538:AD539"/>
    <mergeCell ref="P495:P496"/>
    <mergeCell ref="P566:P567"/>
    <mergeCell ref="S573:S574"/>
    <mergeCell ref="H538:H539"/>
    <mergeCell ref="G536:G537"/>
    <mergeCell ref="H559:H560"/>
    <mergeCell ref="J508:J509"/>
    <mergeCell ref="O573:O578"/>
    <mergeCell ref="P541:P542"/>
    <mergeCell ref="S541:S542"/>
    <mergeCell ref="I518:I519"/>
    <mergeCell ref="I532:I533"/>
    <mergeCell ref="O548:O551"/>
    <mergeCell ref="G538:G540"/>
    <mergeCell ref="S559:S560"/>
    <mergeCell ref="K559:K560"/>
    <mergeCell ref="P559:P560"/>
    <mergeCell ref="M573:M574"/>
    <mergeCell ref="S548:S549"/>
    <mergeCell ref="N570:N572"/>
    <mergeCell ref="M538:M539"/>
    <mergeCell ref="L538:L539"/>
    <mergeCell ref="P538:P539"/>
    <mergeCell ref="M534:M535"/>
    <mergeCell ref="J522:J523"/>
    <mergeCell ref="J536:J537"/>
    <mergeCell ref="M536:M537"/>
    <mergeCell ref="J524:J525"/>
    <mergeCell ref="H545:H546"/>
    <mergeCell ref="G514:G517"/>
    <mergeCell ref="O541:O544"/>
    <mergeCell ref="K538:K539"/>
    <mergeCell ref="H573:H574"/>
    <mergeCell ref="G559:G565"/>
    <mergeCell ref="Z341:Z342"/>
    <mergeCell ref="J534:J535"/>
    <mergeCell ref="I541:I544"/>
    <mergeCell ref="M502:M503"/>
    <mergeCell ref="M473:M474"/>
    <mergeCell ref="O510:O513"/>
    <mergeCell ref="N510:N513"/>
    <mergeCell ref="I516:I517"/>
    <mergeCell ref="O526:O529"/>
    <mergeCell ref="J514:J515"/>
    <mergeCell ref="I441:I448"/>
    <mergeCell ref="N516:N517"/>
    <mergeCell ref="J454:J455"/>
    <mergeCell ref="N473:N474"/>
    <mergeCell ref="M488:M489"/>
    <mergeCell ref="N495:N497"/>
    <mergeCell ref="H541:H544"/>
    <mergeCell ref="O490:O494"/>
    <mergeCell ref="J532:J533"/>
    <mergeCell ref="H516:H517"/>
    <mergeCell ref="J520:J521"/>
    <mergeCell ref="J488:J489"/>
    <mergeCell ref="N526:N529"/>
    <mergeCell ref="M532:M533"/>
    <mergeCell ref="I473:I474"/>
    <mergeCell ref="H473:H474"/>
    <mergeCell ref="I536:I537"/>
    <mergeCell ref="I522:I523"/>
    <mergeCell ref="T514:T515"/>
    <mergeCell ref="U514:U515"/>
    <mergeCell ref="E913:E915"/>
    <mergeCell ref="F913:F915"/>
    <mergeCell ref="F541:F547"/>
    <mergeCell ref="E541:E547"/>
    <mergeCell ref="E514:E517"/>
    <mergeCell ref="D514:D517"/>
    <mergeCell ref="E952:E953"/>
    <mergeCell ref="J502:J503"/>
    <mergeCell ref="G548:G558"/>
    <mergeCell ref="F548:F558"/>
    <mergeCell ref="I502:I503"/>
    <mergeCell ref="H508:H509"/>
    <mergeCell ref="J559:J560"/>
    <mergeCell ref="F825:F826"/>
    <mergeCell ref="E911:E912"/>
    <mergeCell ref="F911:F912"/>
    <mergeCell ref="G911:G912"/>
    <mergeCell ref="D922:D924"/>
    <mergeCell ref="E922:E924"/>
    <mergeCell ref="F897:F899"/>
    <mergeCell ref="G897:G899"/>
    <mergeCell ref="D928:D930"/>
    <mergeCell ref="E928:E930"/>
    <mergeCell ref="D541:D547"/>
    <mergeCell ref="G891:G893"/>
    <mergeCell ref="E799:E800"/>
    <mergeCell ref="F799:F800"/>
    <mergeCell ref="G846:G848"/>
    <mergeCell ref="F536:F537"/>
    <mergeCell ref="G573:G578"/>
    <mergeCell ref="G908:G910"/>
    <mergeCell ref="D795:D796"/>
    <mergeCell ref="C1054:C1055"/>
    <mergeCell ref="B1033:B1035"/>
    <mergeCell ref="C1033:C1035"/>
    <mergeCell ref="B1096:B1098"/>
    <mergeCell ref="E1143:E1144"/>
    <mergeCell ref="D1134:D1136"/>
    <mergeCell ref="C1137:C1139"/>
    <mergeCell ref="B1081:B1083"/>
    <mergeCell ref="E1087:E1089"/>
    <mergeCell ref="C1123:C1127"/>
    <mergeCell ref="A1599:A1600"/>
    <mergeCell ref="B1595:B1596"/>
    <mergeCell ref="C1595:C1596"/>
    <mergeCell ref="D1595:D1596"/>
    <mergeCell ref="J1543:J1544"/>
    <mergeCell ref="O1599:O1600"/>
    <mergeCell ref="P1599:P1600"/>
    <mergeCell ref="M1508:M1510"/>
    <mergeCell ref="M1504:M1505"/>
    <mergeCell ref="E1059:E1061"/>
    <mergeCell ref="E1064:E1065"/>
    <mergeCell ref="D1064:D1065"/>
    <mergeCell ref="H1081:H1083"/>
    <mergeCell ref="H1075:H1077"/>
    <mergeCell ref="E1033:E1035"/>
    <mergeCell ref="F1033:F1035"/>
    <mergeCell ref="E1036:E1038"/>
    <mergeCell ref="F1064:F1065"/>
    <mergeCell ref="B1599:B1600"/>
    <mergeCell ref="P1541:P1542"/>
    <mergeCell ref="C1599:C1600"/>
    <mergeCell ref="N1599:N1600"/>
    <mergeCell ref="U1263:U1264"/>
    <mergeCell ref="P1551:P1553"/>
    <mergeCell ref="S1551:S1553"/>
    <mergeCell ref="P1554:P1556"/>
    <mergeCell ref="S1554:S1556"/>
    <mergeCell ref="S1543:S1544"/>
    <mergeCell ref="D1137:D1139"/>
    <mergeCell ref="A1601:A1602"/>
    <mergeCell ref="B1601:B1602"/>
    <mergeCell ref="C1601:C1602"/>
    <mergeCell ref="D1601:D1602"/>
    <mergeCell ref="E1601:E1602"/>
    <mergeCell ref="F1601:F1602"/>
    <mergeCell ref="G1601:G1602"/>
    <mergeCell ref="N1601:N1602"/>
    <mergeCell ref="S1545:S1547"/>
    <mergeCell ref="M1087:M1089"/>
    <mergeCell ref="D1087:D1089"/>
    <mergeCell ref="H1087:H1089"/>
    <mergeCell ref="O1601:O1602"/>
    <mergeCell ref="S1595:S1596"/>
    <mergeCell ref="T1595:T1596"/>
    <mergeCell ref="S1539:S1540"/>
    <mergeCell ref="S1541:S1542"/>
    <mergeCell ref="S1436:S1437"/>
    <mergeCell ref="S1444:S1446"/>
    <mergeCell ref="U1595:U1596"/>
    <mergeCell ref="S1599:S1600"/>
    <mergeCell ref="D1586:D1587"/>
    <mergeCell ref="N1597:N1598"/>
    <mergeCell ref="J1539:J1540"/>
    <mergeCell ref="M1537:M1538"/>
    <mergeCell ref="M1604:M1605"/>
    <mergeCell ref="J1545:J1547"/>
    <mergeCell ref="J1606:J1607"/>
    <mergeCell ref="J1604:J1605"/>
    <mergeCell ref="J1548:J1550"/>
    <mergeCell ref="M1548:M1550"/>
    <mergeCell ref="J1551:J1553"/>
    <mergeCell ref="P1601:P1602"/>
    <mergeCell ref="Y1537:Y1538"/>
    <mergeCell ref="P1504:P1505"/>
    <mergeCell ref="D1081:D1083"/>
    <mergeCell ref="I1087:I1089"/>
    <mergeCell ref="J1087:J1088"/>
    <mergeCell ref="I1081:I1083"/>
    <mergeCell ref="G1143:G1144"/>
    <mergeCell ref="D1179:D1180"/>
    <mergeCell ref="E1179:E1180"/>
    <mergeCell ref="F1176:F1178"/>
    <mergeCell ref="Y1500:Y1501"/>
    <mergeCell ref="S1537:S1538"/>
    <mergeCell ref="V1539:V1540"/>
    <mergeCell ref="F1595:F1596"/>
    <mergeCell ref="P1595:P1596"/>
    <mergeCell ref="J1537:J1538"/>
    <mergeCell ref="Y1504:Y1505"/>
    <mergeCell ref="Y1548:Y1550"/>
    <mergeCell ref="G1153:G1155"/>
    <mergeCell ref="G1185:G1187"/>
    <mergeCell ref="F1383:F1384"/>
    <mergeCell ref="G1383:G1384"/>
    <mergeCell ref="S1447:S1449"/>
    <mergeCell ref="J1500:J1501"/>
    <mergeCell ref="E1595:E1596"/>
    <mergeCell ref="E1599:E1600"/>
    <mergeCell ref="F1599:F1600"/>
    <mergeCell ref="G1599:G1600"/>
    <mergeCell ref="E984:E986"/>
    <mergeCell ref="F984:F986"/>
    <mergeCell ref="G984:G986"/>
    <mergeCell ref="F1009:F1011"/>
    <mergeCell ref="G1009:G1011"/>
    <mergeCell ref="P1545:P1547"/>
    <mergeCell ref="S1601:S1602"/>
    <mergeCell ref="M1517:M1519"/>
    <mergeCell ref="M1551:M1553"/>
    <mergeCell ref="P1429:R1429"/>
    <mergeCell ref="E999:E1001"/>
    <mergeCell ref="F999:F1001"/>
    <mergeCell ref="J1081:J1082"/>
    <mergeCell ref="I1075:I1077"/>
    <mergeCell ref="J1075:J1076"/>
    <mergeCell ref="M1075:M1077"/>
    <mergeCell ref="N1107:N1109"/>
    <mergeCell ref="O1597:O1598"/>
    <mergeCell ref="P1597:P1598"/>
    <mergeCell ref="F1030:F1032"/>
    <mergeCell ref="E1015:E1017"/>
    <mergeCell ref="F1015:F1017"/>
    <mergeCell ref="G1015:G1017"/>
    <mergeCell ref="E1030:E1032"/>
    <mergeCell ref="E1024:E1026"/>
    <mergeCell ref="J1514:J1516"/>
    <mergeCell ref="M1514:M1516"/>
    <mergeCell ref="J1541:J1542"/>
    <mergeCell ref="A1604:I1636"/>
    <mergeCell ref="J1621:J1623"/>
    <mergeCell ref="D1599:D1600"/>
    <mergeCell ref="J1612:J1614"/>
    <mergeCell ref="A1603:C1603"/>
    <mergeCell ref="C1222:C1223"/>
    <mergeCell ref="B1015:B1017"/>
    <mergeCell ref="C1015:C1017"/>
    <mergeCell ref="D1015:D1017"/>
    <mergeCell ref="E1586:E1587"/>
    <mergeCell ref="F1586:F1587"/>
    <mergeCell ref="J1508:J1510"/>
    <mergeCell ref="B1113:B1114"/>
    <mergeCell ref="B1123:B1127"/>
    <mergeCell ref="C1051:C1053"/>
    <mergeCell ref="B1054:B1055"/>
    <mergeCell ref="B1048:B1050"/>
    <mergeCell ref="C1048:C1050"/>
    <mergeCell ref="F1048:F1050"/>
    <mergeCell ref="G1048:G1050"/>
    <mergeCell ref="D1045:D1047"/>
    <mergeCell ref="E1045:E1047"/>
    <mergeCell ref="C1045:C1047"/>
    <mergeCell ref="E1042:E1044"/>
    <mergeCell ref="F1042:F1044"/>
    <mergeCell ref="G1042:G1044"/>
    <mergeCell ref="B1042:B1044"/>
    <mergeCell ref="C1042:C1044"/>
    <mergeCell ref="D1042:D1044"/>
    <mergeCell ref="G1045:G1047"/>
    <mergeCell ref="J1610:J1611"/>
    <mergeCell ref="J1517:J1519"/>
    <mergeCell ref="AQ1621:AQ1623"/>
    <mergeCell ref="J1615:J1617"/>
    <mergeCell ref="M1615:M1617"/>
    <mergeCell ref="P1615:P1617"/>
    <mergeCell ref="S1615:S1617"/>
    <mergeCell ref="V1615:V1617"/>
    <mergeCell ref="Y1615:Y1617"/>
    <mergeCell ref="AB1615:AB1617"/>
    <mergeCell ref="AE1615:AE1617"/>
    <mergeCell ref="AH1615:AH1617"/>
    <mergeCell ref="AK1615:AK1617"/>
    <mergeCell ref="AN1615:AN1617"/>
    <mergeCell ref="AQ1615:AQ1617"/>
    <mergeCell ref="J1618:J1620"/>
    <mergeCell ref="AH1608:AH1609"/>
    <mergeCell ref="AK1608:AK1609"/>
    <mergeCell ref="AN1608:AN1609"/>
    <mergeCell ref="AQ1608:AQ1609"/>
    <mergeCell ref="AQ1618:AQ1620"/>
    <mergeCell ref="V1610:V1611"/>
    <mergeCell ref="Y1610:Y1611"/>
    <mergeCell ref="AH1612:AH1614"/>
    <mergeCell ref="AB1610:AB1611"/>
    <mergeCell ref="S1608:S1609"/>
    <mergeCell ref="AE1610:AE1611"/>
    <mergeCell ref="V1608:V1609"/>
    <mergeCell ref="Y1608:Y1609"/>
    <mergeCell ref="M1612:M1614"/>
    <mergeCell ref="J1608:J1609"/>
    <mergeCell ref="M1608:M1609"/>
    <mergeCell ref="P1608:P1609"/>
    <mergeCell ref="AE1608:AE1609"/>
    <mergeCell ref="AE1621:AE1623"/>
    <mergeCell ref="AH1621:AH1623"/>
    <mergeCell ref="AK1621:AK1623"/>
    <mergeCell ref="AN1621:AN1623"/>
    <mergeCell ref="AB1606:AB1607"/>
    <mergeCell ref="M1618:M1620"/>
    <mergeCell ref="P1618:P1620"/>
    <mergeCell ref="S1618:S1620"/>
    <mergeCell ref="V1618:V1620"/>
    <mergeCell ref="Y1618:Y1620"/>
    <mergeCell ref="AB1618:AB1620"/>
    <mergeCell ref="AE1618:AE1620"/>
    <mergeCell ref="AH1618:AH1620"/>
    <mergeCell ref="AK1618:AK1620"/>
    <mergeCell ref="AN1618:AN1620"/>
    <mergeCell ref="M1610:M1611"/>
    <mergeCell ref="P1610:P1611"/>
    <mergeCell ref="S1610:S1611"/>
    <mergeCell ref="AK1610:AK1611"/>
    <mergeCell ref="AB1608:AB1609"/>
    <mergeCell ref="P1606:P1607"/>
    <mergeCell ref="AN1610:AN1611"/>
    <mergeCell ref="M1606:M1607"/>
    <mergeCell ref="AK1606:AK1607"/>
    <mergeCell ref="P1621:P1623"/>
    <mergeCell ref="S1621:S1623"/>
    <mergeCell ref="V1621:V1623"/>
    <mergeCell ref="Y1621:Y1623"/>
    <mergeCell ref="AB1621:AB1623"/>
    <mergeCell ref="M1621:M1623"/>
    <mergeCell ref="AN1606:AN1607"/>
    <mergeCell ref="V1606:V1607"/>
    <mergeCell ref="AQ1610:AQ1611"/>
    <mergeCell ref="V1612:V1614"/>
    <mergeCell ref="Y1612:Y1614"/>
    <mergeCell ref="AB1612:AB1614"/>
    <mergeCell ref="AE1612:AE1614"/>
    <mergeCell ref="Y1541:Y1542"/>
    <mergeCell ref="Y1543:Y1544"/>
    <mergeCell ref="V1545:V1547"/>
    <mergeCell ref="Y1545:Y1547"/>
    <mergeCell ref="P1612:P1614"/>
    <mergeCell ref="S1612:S1614"/>
    <mergeCell ref="AK1612:AK1614"/>
    <mergeCell ref="AN1612:AN1614"/>
    <mergeCell ref="AQ1612:AQ1614"/>
    <mergeCell ref="S1604:S1605"/>
    <mergeCell ref="Y1604:Y1605"/>
    <mergeCell ref="AE1604:AE1605"/>
    <mergeCell ref="AK1604:AK1605"/>
    <mergeCell ref="AQ1604:AQ1605"/>
    <mergeCell ref="S1606:S1607"/>
    <mergeCell ref="Y1606:Y1607"/>
    <mergeCell ref="AE1606:AE1607"/>
    <mergeCell ref="AH1554:AH1556"/>
    <mergeCell ref="AQ1606:AQ1607"/>
    <mergeCell ref="AH1610:AH1611"/>
    <mergeCell ref="T1601:T1602"/>
    <mergeCell ref="U1601:U1602"/>
    <mergeCell ref="P1604:P1605"/>
    <mergeCell ref="Y1595:Y1596"/>
    <mergeCell ref="AQ1551:AQ1553"/>
    <mergeCell ref="AF1586:AF1587"/>
    <mergeCell ref="AG1586:AG1587"/>
    <mergeCell ref="AH1586:AH1587"/>
    <mergeCell ref="AH1551:AH1553"/>
    <mergeCell ref="AB1511:AB1513"/>
    <mergeCell ref="AK1584:AK1585"/>
    <mergeCell ref="AB1554:AB1556"/>
    <mergeCell ref="V1551:V1553"/>
    <mergeCell ref="AE1537:AE1538"/>
    <mergeCell ref="AH1543:AH1544"/>
    <mergeCell ref="M1554:M1556"/>
    <mergeCell ref="A1584:A1585"/>
    <mergeCell ref="B1572:J1572"/>
    <mergeCell ref="P1543:P1544"/>
    <mergeCell ref="AG1584:AG1585"/>
    <mergeCell ref="AH1584:AH1585"/>
    <mergeCell ref="AB1517:AB1519"/>
    <mergeCell ref="P1517:P1519"/>
    <mergeCell ref="S1517:S1519"/>
    <mergeCell ref="AE1576:AE1577"/>
    <mergeCell ref="G1576:G1577"/>
    <mergeCell ref="B1576:B1577"/>
    <mergeCell ref="S1548:S1550"/>
    <mergeCell ref="AB1576:AB1577"/>
    <mergeCell ref="AB1578:AB1579"/>
    <mergeCell ref="AB1574:AB1575"/>
    <mergeCell ref="AB1580:AB1581"/>
    <mergeCell ref="AK1554:AK1556"/>
    <mergeCell ref="A1586:A1587"/>
    <mergeCell ref="D1578:D1579"/>
    <mergeCell ref="C1582:C1583"/>
    <mergeCell ref="C1580:C1581"/>
    <mergeCell ref="C1578:C1579"/>
    <mergeCell ref="C1576:C1577"/>
    <mergeCell ref="AH1604:AH1605"/>
    <mergeCell ref="AH1606:AH1607"/>
    <mergeCell ref="V1506:V1507"/>
    <mergeCell ref="Y1506:Y1507"/>
    <mergeCell ref="AH1506:AH1507"/>
    <mergeCell ref="AK1506:AK1507"/>
    <mergeCell ref="AK1508:AK1510"/>
    <mergeCell ref="AE1517:AE1519"/>
    <mergeCell ref="AB1506:AB1507"/>
    <mergeCell ref="AH1514:AH1516"/>
    <mergeCell ref="AK1514:AK1516"/>
    <mergeCell ref="AH1511:AH1513"/>
    <mergeCell ref="AK1511:AK1513"/>
    <mergeCell ref="AN1511:AN1513"/>
    <mergeCell ref="AN1604:AN1605"/>
    <mergeCell ref="AB1604:AB1605"/>
    <mergeCell ref="V1601:V1602"/>
    <mergeCell ref="Y1601:Y1602"/>
    <mergeCell ref="AK1586:AK1587"/>
    <mergeCell ref="AF1584:AF1585"/>
    <mergeCell ref="AN1551:AN1553"/>
    <mergeCell ref="AN1506:AN1507"/>
    <mergeCell ref="AH1517:AH1519"/>
    <mergeCell ref="AK1517:AK1519"/>
    <mergeCell ref="AN1545:AN1547"/>
    <mergeCell ref="AN1514:AN1516"/>
    <mergeCell ref="AN1554:AN1556"/>
    <mergeCell ref="AB1514:AB1516"/>
    <mergeCell ref="AH1545:AH1547"/>
    <mergeCell ref="V1604:V1605"/>
    <mergeCell ref="Y1599:Y1600"/>
    <mergeCell ref="Y1597:Y1598"/>
    <mergeCell ref="AQ1554:AQ1556"/>
    <mergeCell ref="AH1541:AH1542"/>
    <mergeCell ref="AK1537:AK1538"/>
    <mergeCell ref="AK1539:AK1540"/>
    <mergeCell ref="AH1539:AH1540"/>
    <mergeCell ref="AN1539:AN1540"/>
    <mergeCell ref="AK1541:AK1542"/>
    <mergeCell ref="AK1543:AK1544"/>
    <mergeCell ref="AQ1436:AQ1437"/>
    <mergeCell ref="AH1444:AH1446"/>
    <mergeCell ref="AQ1537:AQ1538"/>
    <mergeCell ref="AQ1539:AQ1540"/>
    <mergeCell ref="AQ1506:AQ1507"/>
    <mergeCell ref="AQ1517:AQ1519"/>
    <mergeCell ref="AN1508:AN1510"/>
    <mergeCell ref="AE1554:AE1556"/>
    <mergeCell ref="AE1548:AE1550"/>
    <mergeCell ref="AE1450:AE1452"/>
    <mergeCell ref="AE1444:AE1446"/>
    <mergeCell ref="AE1506:AE1507"/>
    <mergeCell ref="AE1543:AE1544"/>
    <mergeCell ref="AB1545:AB1547"/>
    <mergeCell ref="AE1545:AE1547"/>
    <mergeCell ref="AB1539:AB1540"/>
    <mergeCell ref="AB1537:AB1538"/>
    <mergeCell ref="AE1551:AE1553"/>
    <mergeCell ref="AB1551:AB1553"/>
    <mergeCell ref="AQ1514:AQ1516"/>
    <mergeCell ref="AE1511:AE1513"/>
    <mergeCell ref="AQ1508:AQ1510"/>
    <mergeCell ref="AQ1548:AQ1550"/>
    <mergeCell ref="AQ1545:AQ1547"/>
    <mergeCell ref="AN1517:AN1519"/>
    <mergeCell ref="AK1548:AK1550"/>
    <mergeCell ref="AE1539:AE1540"/>
    <mergeCell ref="AE1541:AE1542"/>
    <mergeCell ref="AE1514:AE1516"/>
    <mergeCell ref="AH1508:AH1510"/>
    <mergeCell ref="AN1543:AN1544"/>
    <mergeCell ref="AB1541:AB1542"/>
    <mergeCell ref="AQ1541:AQ1542"/>
    <mergeCell ref="AB1548:AB1550"/>
    <mergeCell ref="AH592:AH593"/>
    <mergeCell ref="AI594:AI595"/>
    <mergeCell ref="AM592:AM593"/>
    <mergeCell ref="AH579:AH580"/>
    <mergeCell ref="AE613:AE614"/>
    <mergeCell ref="AN1502:AN1503"/>
    <mergeCell ref="AB1502:AB1503"/>
    <mergeCell ref="AK1450:AK1452"/>
    <mergeCell ref="AH1500:AH1501"/>
    <mergeCell ref="AK1500:AK1501"/>
    <mergeCell ref="AN1500:AN1501"/>
    <mergeCell ref="AQ1434:AQ1435"/>
    <mergeCell ref="AE803:AE804"/>
    <mergeCell ref="AK891:AK893"/>
    <mergeCell ref="AQ1314:AQ1316"/>
    <mergeCell ref="AL1317:AL1319"/>
    <mergeCell ref="AM1317:AM1319"/>
    <mergeCell ref="AQ1317:AQ1319"/>
    <mergeCell ref="AM1320:AM1322"/>
    <mergeCell ref="AK1347:AK1349"/>
    <mergeCell ref="AF1344:AF1346"/>
    <mergeCell ref="AK1341:AK1343"/>
    <mergeCell ref="AN1293:AN1294"/>
    <mergeCell ref="AN592:AN593"/>
    <mergeCell ref="AG835:AG836"/>
    <mergeCell ref="AM1200:AM1201"/>
    <mergeCell ref="AF1205:AF1206"/>
    <mergeCell ref="AB1500:AB1501"/>
    <mergeCell ref="AQ598:AQ599"/>
    <mergeCell ref="AN1281:AN1282"/>
    <mergeCell ref="AQ1293:AQ1294"/>
    <mergeCell ref="AN1291:AN1292"/>
    <mergeCell ref="AG1064:AG1065"/>
    <mergeCell ref="AN1295:AN1296"/>
    <mergeCell ref="AN1283:AN1284"/>
    <mergeCell ref="AE1308:AE1309"/>
    <mergeCell ref="AL1338:AL1340"/>
    <mergeCell ref="AM1338:AM1340"/>
    <mergeCell ref="AN1338:AN1339"/>
    <mergeCell ref="AQ1338:AQ1340"/>
    <mergeCell ref="AQ1543:AQ1544"/>
    <mergeCell ref="AQ1447:AQ1449"/>
    <mergeCell ref="AB1438:AD1438"/>
    <mergeCell ref="AB1439:AD1439"/>
    <mergeCell ref="AQ1380:AQ1382"/>
    <mergeCell ref="AN1380:AN1381"/>
    <mergeCell ref="AQ1500:AQ1501"/>
    <mergeCell ref="AK1441:AK1443"/>
    <mergeCell ref="AB1543:AB1544"/>
    <mergeCell ref="AL1320:AL1322"/>
    <mergeCell ref="AG1347:AG1349"/>
    <mergeCell ref="AL1314:AL1316"/>
    <mergeCell ref="AM1314:AM1316"/>
    <mergeCell ref="AN1314:AN1315"/>
    <mergeCell ref="AF1329:AF1331"/>
    <mergeCell ref="AN1317:AN1318"/>
    <mergeCell ref="AB1440:AD1440"/>
    <mergeCell ref="AN1353:AN1354"/>
    <mergeCell ref="AN1431:AP1431"/>
    <mergeCell ref="AN1356:AN1357"/>
    <mergeCell ref="AL1356:AL1358"/>
    <mergeCell ref="AM1356:AM1358"/>
    <mergeCell ref="AB1508:AB1510"/>
    <mergeCell ref="AE1508:AE1510"/>
    <mergeCell ref="AO594:AO595"/>
    <mergeCell ref="AH613:AH614"/>
    <mergeCell ref="AK1545:AK1547"/>
    <mergeCell ref="AH1548:AH1550"/>
    <mergeCell ref="AH1537:AH1538"/>
    <mergeCell ref="AK1551:AK1553"/>
    <mergeCell ref="AN1537:AN1538"/>
    <mergeCell ref="AN1541:AN1542"/>
    <mergeCell ref="AQ1450:AQ1452"/>
    <mergeCell ref="AN1548:AN1550"/>
    <mergeCell ref="AQ1291:AQ1292"/>
    <mergeCell ref="AK1329:AK1331"/>
    <mergeCell ref="AQ903:AQ905"/>
    <mergeCell ref="AL906:AL907"/>
    <mergeCell ref="AM906:AM907"/>
    <mergeCell ref="AN906:AN907"/>
    <mergeCell ref="AQ906:AQ907"/>
    <mergeCell ref="AL946:AL948"/>
    <mergeCell ref="AM946:AM948"/>
    <mergeCell ref="AN946:AN947"/>
    <mergeCell ref="AQ946:AQ948"/>
    <mergeCell ref="AN1128:AN1129"/>
    <mergeCell ref="AQ1511:AQ1513"/>
    <mergeCell ref="AQ1295:AQ1296"/>
    <mergeCell ref="AL1048:AL1050"/>
    <mergeCell ref="AM1048:AM1050"/>
    <mergeCell ref="AN1048:AN1049"/>
    <mergeCell ref="AQ1048:AQ1050"/>
    <mergeCell ref="AM1042:AM1044"/>
    <mergeCell ref="AN1042:AN1043"/>
    <mergeCell ref="AN897:AN898"/>
    <mergeCell ref="AQ897:AQ899"/>
    <mergeCell ref="AG611:AG612"/>
    <mergeCell ref="AH611:AH612"/>
    <mergeCell ref="AI611:AI612"/>
    <mergeCell ref="AJ611:AJ612"/>
    <mergeCell ref="AQ615:AQ616"/>
    <mergeCell ref="AP619:AP620"/>
    <mergeCell ref="AQ619:AQ620"/>
    <mergeCell ref="AL605:AL606"/>
    <mergeCell ref="AJ619:AJ620"/>
    <mergeCell ref="AP613:AP614"/>
    <mergeCell ref="AF573:AF574"/>
    <mergeCell ref="V1429:X1429"/>
    <mergeCell ref="AE579:AE580"/>
    <mergeCell ref="AK579:AK580"/>
    <mergeCell ref="AL579:AL580"/>
    <mergeCell ref="AB609:AB610"/>
    <mergeCell ref="AE609:AE610"/>
    <mergeCell ref="AE623:AE624"/>
    <mergeCell ref="AO592:AO593"/>
    <mergeCell ref="AD592:AD593"/>
    <mergeCell ref="AE592:AE593"/>
    <mergeCell ref="AF592:AF593"/>
    <mergeCell ref="Y596:Y597"/>
    <mergeCell ref="Y603:Y604"/>
    <mergeCell ref="Z596:Z597"/>
    <mergeCell ref="Z605:Z606"/>
    <mergeCell ref="AN1200:AN1201"/>
    <mergeCell ref="AK1210:AK1211"/>
    <mergeCell ref="AK1205:AK1206"/>
    <mergeCell ref="AO573:AO574"/>
    <mergeCell ref="AC579:AC580"/>
    <mergeCell ref="AG592:AG593"/>
    <mergeCell ref="V261:V262"/>
    <mergeCell ref="AN613:AN614"/>
    <mergeCell ref="Y588:Y589"/>
    <mergeCell ref="AJ536:AJ537"/>
    <mergeCell ref="AB538:AB539"/>
    <mergeCell ref="Z538:Z539"/>
    <mergeCell ref="AG596:AG597"/>
    <mergeCell ref="AM536:AM537"/>
    <mergeCell ref="Z541:Z542"/>
    <mergeCell ref="Y552:Y553"/>
    <mergeCell ref="Y536:Y537"/>
    <mergeCell ref="Y566:Y567"/>
    <mergeCell ref="AE573:AE574"/>
    <mergeCell ref="Z573:Z574"/>
    <mergeCell ref="AA573:AA574"/>
    <mergeCell ref="AH573:AH574"/>
    <mergeCell ref="AI573:AI574"/>
    <mergeCell ref="AL538:AL539"/>
    <mergeCell ref="Z592:Z593"/>
    <mergeCell ref="Y584:Y585"/>
    <mergeCell ref="Y590:Y591"/>
    <mergeCell ref="AH594:AH595"/>
    <mergeCell ref="AB592:AB593"/>
    <mergeCell ref="AM579:AM580"/>
    <mergeCell ref="AA594:AA595"/>
    <mergeCell ref="Z594:Z595"/>
    <mergeCell ref="AB541:AB542"/>
    <mergeCell ref="Z305:Z306"/>
    <mergeCell ref="AJ594:AJ595"/>
    <mergeCell ref="AI592:AI593"/>
    <mergeCell ref="AB514:AB515"/>
    <mergeCell ref="AD579:AD580"/>
    <mergeCell ref="AD573:AD574"/>
    <mergeCell ref="AN573:AN574"/>
    <mergeCell ref="Z536:Z537"/>
    <mergeCell ref="AN594:AN595"/>
    <mergeCell ref="Y193:Y194"/>
    <mergeCell ref="U201:U202"/>
    <mergeCell ref="Y189:Y190"/>
    <mergeCell ref="V205:V206"/>
    <mergeCell ref="U281:U282"/>
    <mergeCell ref="V203:V204"/>
    <mergeCell ref="S545:S546"/>
    <mergeCell ref="Y283:Y284"/>
    <mergeCell ref="V257:V258"/>
    <mergeCell ref="V259:V260"/>
    <mergeCell ref="U233:U234"/>
    <mergeCell ref="T287:T288"/>
    <mergeCell ref="U285:U286"/>
    <mergeCell ref="U277:U278"/>
    <mergeCell ref="S516:S517"/>
    <mergeCell ref="S514:S515"/>
    <mergeCell ref="T285:T286"/>
    <mergeCell ref="S538:S539"/>
    <mergeCell ref="U279:U280"/>
    <mergeCell ref="U287:U288"/>
    <mergeCell ref="U267:U268"/>
    <mergeCell ref="U265:U266"/>
    <mergeCell ref="V265:V266"/>
    <mergeCell ref="Y197:Y198"/>
    <mergeCell ref="V249:V250"/>
    <mergeCell ref="V267:V268"/>
    <mergeCell ref="V255:V256"/>
    <mergeCell ref="V269:V270"/>
    <mergeCell ref="U263:U264"/>
    <mergeCell ref="P545:P546"/>
    <mergeCell ref="P514:P515"/>
    <mergeCell ref="P504:P505"/>
    <mergeCell ref="T277:T278"/>
    <mergeCell ref="U275:U276"/>
    <mergeCell ref="Y195:Y196"/>
    <mergeCell ref="Y168:Y169"/>
    <mergeCell ref="T233:T234"/>
    <mergeCell ref="U283:U284"/>
    <mergeCell ref="T283:T284"/>
    <mergeCell ref="T259:T260"/>
    <mergeCell ref="T273:T274"/>
    <mergeCell ref="V277:V278"/>
    <mergeCell ref="Y223:Y224"/>
    <mergeCell ref="U269:U270"/>
    <mergeCell ref="Y504:Y505"/>
    <mergeCell ref="V241:V242"/>
    <mergeCell ref="V243:V244"/>
    <mergeCell ref="V209:V210"/>
    <mergeCell ref="V207:V208"/>
    <mergeCell ref="V223:V224"/>
    <mergeCell ref="V281:V282"/>
    <mergeCell ref="V227:V228"/>
    <mergeCell ref="Y259:Y260"/>
    <mergeCell ref="Y277:Y278"/>
    <mergeCell ref="Y275:Y276"/>
    <mergeCell ref="Y241:Y242"/>
    <mergeCell ref="Y263:Y264"/>
    <mergeCell ref="V253:V254"/>
    <mergeCell ref="V536:V537"/>
    <mergeCell ref="U536:U537"/>
    <mergeCell ref="V584:V585"/>
    <mergeCell ref="U584:U585"/>
    <mergeCell ref="V279:V280"/>
    <mergeCell ref="V283:V284"/>
    <mergeCell ref="S504:S505"/>
    <mergeCell ref="V287:V288"/>
    <mergeCell ref="V289:V290"/>
    <mergeCell ref="V504:V505"/>
    <mergeCell ref="V590:V591"/>
    <mergeCell ref="V586:V587"/>
    <mergeCell ref="V603:V604"/>
    <mergeCell ref="U619:U622"/>
    <mergeCell ref="U615:U618"/>
    <mergeCell ref="T504:T506"/>
    <mergeCell ref="V285:V286"/>
    <mergeCell ref="U563:U565"/>
    <mergeCell ref="T563:T565"/>
    <mergeCell ref="V555:V556"/>
    <mergeCell ref="V598:V599"/>
    <mergeCell ref="T584:T585"/>
    <mergeCell ref="U590:U591"/>
    <mergeCell ref="S566:S567"/>
    <mergeCell ref="T311:T312"/>
    <mergeCell ref="U588:U589"/>
    <mergeCell ref="S473:S474"/>
    <mergeCell ref="V566:V567"/>
    <mergeCell ref="V594:V595"/>
    <mergeCell ref="U504:U506"/>
    <mergeCell ref="U552:U554"/>
    <mergeCell ref="T552:T554"/>
    <mergeCell ref="T573:T574"/>
    <mergeCell ref="T289:T290"/>
    <mergeCell ref="T267:T268"/>
    <mergeCell ref="U1117:U1118"/>
    <mergeCell ref="U605:U606"/>
    <mergeCell ref="P570:P571"/>
    <mergeCell ref="T592:T593"/>
    <mergeCell ref="U849:U852"/>
    <mergeCell ref="U859:U860"/>
    <mergeCell ref="U603:U604"/>
    <mergeCell ref="T797:T798"/>
    <mergeCell ref="S579:S580"/>
    <mergeCell ref="T849:T852"/>
    <mergeCell ref="R473:R474"/>
    <mergeCell ref="Q473:Q474"/>
    <mergeCell ref="T605:T606"/>
    <mergeCell ref="T603:T604"/>
    <mergeCell ref="T859:T860"/>
    <mergeCell ref="S1099:S1100"/>
    <mergeCell ref="P1104:P1105"/>
    <mergeCell ref="P1099:P1100"/>
    <mergeCell ref="P1093:P1094"/>
    <mergeCell ref="S1093:S1094"/>
    <mergeCell ref="P1096:P1097"/>
    <mergeCell ref="P1107:P1108"/>
    <mergeCell ref="S1107:S1108"/>
    <mergeCell ref="S1096:S1097"/>
    <mergeCell ref="P1102:P1103"/>
    <mergeCell ref="T964:T965"/>
    <mergeCell ref="P1113:P1114"/>
    <mergeCell ref="T566:T569"/>
    <mergeCell ref="U555:U557"/>
    <mergeCell ref="T555:T557"/>
    <mergeCell ref="S495:S496"/>
    <mergeCell ref="Y279:Y280"/>
    <mergeCell ref="AA321:AA322"/>
    <mergeCell ref="Z321:Z322"/>
    <mergeCell ref="AA514:AA515"/>
    <mergeCell ref="T263:T264"/>
    <mergeCell ref="AA291:AA292"/>
    <mergeCell ref="Z291:Z292"/>
    <mergeCell ref="T191:T192"/>
    <mergeCell ref="T243:T244"/>
    <mergeCell ref="AC536:AC537"/>
    <mergeCell ref="Y211:Y212"/>
    <mergeCell ref="Y209:Y210"/>
    <mergeCell ref="U261:U262"/>
    <mergeCell ref="T261:T262"/>
    <mergeCell ref="T279:T280"/>
    <mergeCell ref="T281:T282"/>
    <mergeCell ref="V217:V218"/>
    <mergeCell ref="Y233:Y234"/>
    <mergeCell ref="Y251:Y252"/>
    <mergeCell ref="Y249:Y250"/>
    <mergeCell ref="Y247:Y248"/>
    <mergeCell ref="Y235:Y236"/>
    <mergeCell ref="Y217:Y218"/>
    <mergeCell ref="T265:T266"/>
    <mergeCell ref="T271:T272"/>
    <mergeCell ref="Y221:Y222"/>
    <mergeCell ref="Y261:Y262"/>
    <mergeCell ref="U241:U242"/>
    <mergeCell ref="V271:V272"/>
    <mergeCell ref="U271:U272"/>
    <mergeCell ref="U273:U274"/>
    <mergeCell ref="V263:V264"/>
    <mergeCell ref="U249:U250"/>
    <mergeCell ref="U247:U248"/>
    <mergeCell ref="U251:U252"/>
    <mergeCell ref="Y245:Y246"/>
    <mergeCell ref="V233:V234"/>
    <mergeCell ref="V235:V236"/>
    <mergeCell ref="T235:T236"/>
    <mergeCell ref="U231:U232"/>
    <mergeCell ref="Y239:Y240"/>
    <mergeCell ref="U257:U258"/>
    <mergeCell ref="U255:U256"/>
    <mergeCell ref="V195:V196"/>
    <mergeCell ref="V197:V198"/>
    <mergeCell ref="Y227:Y228"/>
    <mergeCell ref="U253:U254"/>
    <mergeCell ref="U207:U208"/>
    <mergeCell ref="U227:U228"/>
    <mergeCell ref="U237:U238"/>
    <mergeCell ref="U245:U246"/>
    <mergeCell ref="T245:T246"/>
    <mergeCell ref="T227:T228"/>
    <mergeCell ref="U225:U226"/>
    <mergeCell ref="V245:V246"/>
    <mergeCell ref="V247:V248"/>
    <mergeCell ref="T229:T230"/>
    <mergeCell ref="U239:U240"/>
    <mergeCell ref="T239:T240"/>
    <mergeCell ref="T257:T258"/>
    <mergeCell ref="T255:T256"/>
    <mergeCell ref="T241:T242"/>
    <mergeCell ref="T253:T254"/>
    <mergeCell ref="U199:U200"/>
    <mergeCell ref="Y271:Y272"/>
    <mergeCell ref="T275:T276"/>
    <mergeCell ref="V168:V169"/>
    <mergeCell ref="U193:U194"/>
    <mergeCell ref="V189:V190"/>
    <mergeCell ref="U191:U192"/>
    <mergeCell ref="V229:V230"/>
    <mergeCell ref="Y225:Y226"/>
    <mergeCell ref="Y175:Y176"/>
    <mergeCell ref="T269:T270"/>
    <mergeCell ref="T251:T252"/>
    <mergeCell ref="T249:T250"/>
    <mergeCell ref="T247:T248"/>
    <mergeCell ref="V191:V192"/>
    <mergeCell ref="V193:V194"/>
    <mergeCell ref="U197:U198"/>
    <mergeCell ref="T197:T198"/>
    <mergeCell ref="U195:U196"/>
    <mergeCell ref="T231:T232"/>
    <mergeCell ref="U229:U230"/>
    <mergeCell ref="T207:T208"/>
    <mergeCell ref="U205:U206"/>
    <mergeCell ref="T205:T206"/>
    <mergeCell ref="T225:T226"/>
    <mergeCell ref="U223:U224"/>
    <mergeCell ref="T223:T224"/>
    <mergeCell ref="U221:U222"/>
    <mergeCell ref="Y265:Y266"/>
    <mergeCell ref="Y257:Y258"/>
    <mergeCell ref="Y255:Y256"/>
    <mergeCell ref="Y172:Y173"/>
    <mergeCell ref="T201:T202"/>
    <mergeCell ref="T237:T238"/>
    <mergeCell ref="U235:U236"/>
    <mergeCell ref="O102:O106"/>
    <mergeCell ref="Z184:Z185"/>
    <mergeCell ref="S156:S157"/>
    <mergeCell ref="V221:V222"/>
    <mergeCell ref="Y186:Y187"/>
    <mergeCell ref="Y231:Y232"/>
    <mergeCell ref="Y229:Y230"/>
    <mergeCell ref="Y178:Y179"/>
    <mergeCell ref="U189:U190"/>
    <mergeCell ref="U178:U181"/>
    <mergeCell ref="U172:U174"/>
    <mergeCell ref="Z213:Z214"/>
    <mergeCell ref="O186:O187"/>
    <mergeCell ref="O156:O159"/>
    <mergeCell ref="O116:O120"/>
    <mergeCell ref="O111:O114"/>
    <mergeCell ref="S123:S124"/>
    <mergeCell ref="S116:S117"/>
    <mergeCell ref="P116:P117"/>
    <mergeCell ref="P129:P130"/>
    <mergeCell ref="U217:U218"/>
    <mergeCell ref="V231:V232"/>
    <mergeCell ref="T166:T167"/>
    <mergeCell ref="U209:U210"/>
    <mergeCell ref="O123:O127"/>
    <mergeCell ref="O145:O147"/>
    <mergeCell ref="S102:S103"/>
    <mergeCell ref="T186:T188"/>
    <mergeCell ref="U219:U220"/>
    <mergeCell ref="T193:T194"/>
    <mergeCell ref="H10:H11"/>
    <mergeCell ref="F19:F21"/>
    <mergeCell ref="AR10:AR11"/>
    <mergeCell ref="H19:H21"/>
    <mergeCell ref="I19:I21"/>
    <mergeCell ref="T195:T196"/>
    <mergeCell ref="V172:V173"/>
    <mergeCell ref="V175:V176"/>
    <mergeCell ref="P145:P146"/>
    <mergeCell ref="S145:S146"/>
    <mergeCell ref="I49:I50"/>
    <mergeCell ref="J49:J50"/>
    <mergeCell ref="H49:H50"/>
    <mergeCell ref="H62:H63"/>
    <mergeCell ref="I62:I63"/>
    <mergeCell ref="J62:J63"/>
    <mergeCell ref="M69:M70"/>
    <mergeCell ref="M49:M50"/>
    <mergeCell ref="J51:J52"/>
    <mergeCell ref="M51:M52"/>
    <mergeCell ref="H58:H59"/>
    <mergeCell ref="J69:J70"/>
    <mergeCell ref="J73:J74"/>
    <mergeCell ref="J92:J93"/>
    <mergeCell ref="M92:M93"/>
    <mergeCell ref="M19:M20"/>
    <mergeCell ref="M56:M57"/>
    <mergeCell ref="I51:I52"/>
    <mergeCell ref="H92:H93"/>
    <mergeCell ref="J60:J61"/>
    <mergeCell ref="H51:H52"/>
    <mergeCell ref="I53:I55"/>
    <mergeCell ref="B19:B21"/>
    <mergeCell ref="P102:P103"/>
    <mergeCell ref="M78:M79"/>
    <mergeCell ref="P137:P138"/>
    <mergeCell ref="P141:P142"/>
    <mergeCell ref="M60:M61"/>
    <mergeCell ref="J53:J54"/>
    <mergeCell ref="C19:C21"/>
    <mergeCell ref="D67:D68"/>
    <mergeCell ref="C67:C68"/>
    <mergeCell ref="AR2:AR4"/>
    <mergeCell ref="H3:I4"/>
    <mergeCell ref="J3:J5"/>
    <mergeCell ref="K3:L4"/>
    <mergeCell ref="M3:M4"/>
    <mergeCell ref="N3:O4"/>
    <mergeCell ref="P3:P5"/>
    <mergeCell ref="Q3:R4"/>
    <mergeCell ref="S3:S4"/>
    <mergeCell ref="A8:M8"/>
    <mergeCell ref="J10:J11"/>
    <mergeCell ref="M10:M11"/>
    <mergeCell ref="A7:AQ7"/>
    <mergeCell ref="AH3:AH5"/>
    <mergeCell ref="AI3:AJ4"/>
    <mergeCell ref="AK3:AK4"/>
    <mergeCell ref="AB3:AB5"/>
    <mergeCell ref="Z3:AA4"/>
    <mergeCell ref="E19:E21"/>
    <mergeCell ref="D19:D21"/>
    <mergeCell ref="J19:J20"/>
    <mergeCell ref="G19:G21"/>
    <mergeCell ref="A1:AQ1"/>
    <mergeCell ref="A2:A5"/>
    <mergeCell ref="B2:B5"/>
    <mergeCell ref="C2:C5"/>
    <mergeCell ref="D2:G3"/>
    <mergeCell ref="H2:M2"/>
    <mergeCell ref="N2:S2"/>
    <mergeCell ref="T2:Y2"/>
    <mergeCell ref="Z2:AE2"/>
    <mergeCell ref="AF2:AK2"/>
    <mergeCell ref="AL3:AM4"/>
    <mergeCell ref="AN3:AN5"/>
    <mergeCell ref="AO3:AP4"/>
    <mergeCell ref="AQ3:AQ4"/>
    <mergeCell ref="D4:E4"/>
    <mergeCell ref="F4:G4"/>
    <mergeCell ref="AC3:AD4"/>
    <mergeCell ref="AE3:AE4"/>
    <mergeCell ref="AF3:AG4"/>
    <mergeCell ref="W3:X4"/>
    <mergeCell ref="Y3:Y4"/>
    <mergeCell ref="AL2:AQ2"/>
    <mergeCell ref="T3:U4"/>
    <mergeCell ref="V3:V5"/>
    <mergeCell ref="A19:A21"/>
    <mergeCell ref="I10:I11"/>
    <mergeCell ref="M43:M44"/>
    <mergeCell ref="I38:I40"/>
    <mergeCell ref="J41:J42"/>
    <mergeCell ref="M41:M42"/>
    <mergeCell ref="I43:I44"/>
    <mergeCell ref="E38:E40"/>
    <mergeCell ref="H38:H40"/>
    <mergeCell ref="F35:F37"/>
    <mergeCell ref="E35:E37"/>
    <mergeCell ref="D35:D37"/>
    <mergeCell ref="E32:E34"/>
    <mergeCell ref="D32:D34"/>
    <mergeCell ref="H45:H47"/>
    <mergeCell ref="I45:I47"/>
    <mergeCell ref="G45:G48"/>
    <mergeCell ref="H41:H42"/>
    <mergeCell ref="I41:I42"/>
    <mergeCell ref="M22:M23"/>
    <mergeCell ref="M30:M31"/>
    <mergeCell ref="A30:A31"/>
    <mergeCell ref="C32:C34"/>
    <mergeCell ref="G38:G40"/>
    <mergeCell ref="F38:F40"/>
    <mergeCell ref="C38:C40"/>
    <mergeCell ref="D43:D44"/>
    <mergeCell ref="C43:C44"/>
    <mergeCell ref="C35:C37"/>
    <mergeCell ref="F32:F34"/>
    <mergeCell ref="A32:A34"/>
    <mergeCell ref="D30:D31"/>
    <mergeCell ref="H53:H55"/>
    <mergeCell ref="M53:M54"/>
    <mergeCell ref="M38:M39"/>
    <mergeCell ref="H35:H37"/>
    <mergeCell ref="I35:I37"/>
    <mergeCell ref="J35:J36"/>
    <mergeCell ref="J38:J39"/>
    <mergeCell ref="H60:H61"/>
    <mergeCell ref="M35:M36"/>
    <mergeCell ref="M64:M65"/>
    <mergeCell ref="I92:I93"/>
    <mergeCell ref="J88:J89"/>
    <mergeCell ref="I69:I70"/>
    <mergeCell ref="I71:I72"/>
    <mergeCell ref="M85:M86"/>
    <mergeCell ref="I22:I24"/>
    <mergeCell ref="J22:J23"/>
    <mergeCell ref="J45:J46"/>
    <mergeCell ref="M45:M46"/>
    <mergeCell ref="M26:M27"/>
    <mergeCell ref="H22:H24"/>
    <mergeCell ref="M32:M33"/>
    <mergeCell ref="J43:J44"/>
    <mergeCell ref="H30:H31"/>
    <mergeCell ref="I30:I31"/>
    <mergeCell ref="J30:J31"/>
    <mergeCell ref="J32:J33"/>
    <mergeCell ref="I78:I84"/>
    <mergeCell ref="H78:H84"/>
    <mergeCell ref="C62:C63"/>
    <mergeCell ref="H85:H87"/>
    <mergeCell ref="E71:E72"/>
    <mergeCell ref="H69:H70"/>
    <mergeCell ref="I58:I59"/>
    <mergeCell ref="J56:J57"/>
    <mergeCell ref="H56:H57"/>
    <mergeCell ref="I56:I57"/>
    <mergeCell ref="I60:I61"/>
    <mergeCell ref="C71:C72"/>
    <mergeCell ref="I85:I87"/>
    <mergeCell ref="J85:J86"/>
    <mergeCell ref="J64:J65"/>
    <mergeCell ref="J58:J59"/>
    <mergeCell ref="G56:G57"/>
    <mergeCell ref="D56:D57"/>
    <mergeCell ref="J71:J72"/>
    <mergeCell ref="I73:I74"/>
    <mergeCell ref="I67:I68"/>
    <mergeCell ref="J67:J68"/>
    <mergeCell ref="F56:F57"/>
    <mergeCell ref="D75:D77"/>
    <mergeCell ref="C75:C77"/>
    <mergeCell ref="G78:G84"/>
    <mergeCell ref="F78:F84"/>
    <mergeCell ref="E78:E84"/>
    <mergeCell ref="D78:D84"/>
    <mergeCell ref="C78:C84"/>
    <mergeCell ref="M58:M59"/>
    <mergeCell ref="I64:I66"/>
    <mergeCell ref="F88:F89"/>
    <mergeCell ref="G88:G89"/>
    <mergeCell ref="N160:N163"/>
    <mergeCell ref="O137:O140"/>
    <mergeCell ref="D90:D91"/>
    <mergeCell ref="F107:F110"/>
    <mergeCell ref="E164:E165"/>
    <mergeCell ref="D170:D171"/>
    <mergeCell ref="D164:D165"/>
    <mergeCell ref="N156:N159"/>
    <mergeCell ref="N102:N106"/>
    <mergeCell ref="N116:N120"/>
    <mergeCell ref="E88:E89"/>
    <mergeCell ref="M62:M63"/>
    <mergeCell ref="N111:N114"/>
    <mergeCell ref="M73:M74"/>
    <mergeCell ref="M67:M68"/>
    <mergeCell ref="D160:D163"/>
    <mergeCell ref="G148:G151"/>
    <mergeCell ref="F148:F151"/>
    <mergeCell ref="H75:H76"/>
    <mergeCell ref="I75:I76"/>
    <mergeCell ref="J75:J76"/>
    <mergeCell ref="M75:M76"/>
    <mergeCell ref="M71:M72"/>
    <mergeCell ref="G75:G77"/>
    <mergeCell ref="F75:F77"/>
    <mergeCell ref="E75:E77"/>
    <mergeCell ref="E92:E101"/>
    <mergeCell ref="G60:G61"/>
    <mergeCell ref="S97:S98"/>
    <mergeCell ref="P156:P157"/>
    <mergeCell ref="F90:F91"/>
    <mergeCell ref="E90:E91"/>
    <mergeCell ref="G145:G147"/>
    <mergeCell ref="O164:O165"/>
    <mergeCell ref="H64:H66"/>
    <mergeCell ref="E67:E68"/>
    <mergeCell ref="D85:D87"/>
    <mergeCell ref="E85:E87"/>
    <mergeCell ref="D141:D144"/>
    <mergeCell ref="O182:O183"/>
    <mergeCell ref="P182:P183"/>
    <mergeCell ref="D92:D101"/>
    <mergeCell ref="D73:D74"/>
    <mergeCell ref="T178:T181"/>
    <mergeCell ref="D71:D72"/>
    <mergeCell ref="P123:P124"/>
    <mergeCell ref="J78:J79"/>
    <mergeCell ref="O97:O101"/>
    <mergeCell ref="N97:N101"/>
    <mergeCell ref="H88:H89"/>
    <mergeCell ref="I88:I89"/>
    <mergeCell ref="M88:M89"/>
    <mergeCell ref="G160:G163"/>
    <mergeCell ref="F160:F163"/>
    <mergeCell ref="P164:P165"/>
    <mergeCell ref="G90:G91"/>
    <mergeCell ref="G102:G106"/>
    <mergeCell ref="F102:F106"/>
    <mergeCell ref="E102:E106"/>
    <mergeCell ref="D102:D106"/>
    <mergeCell ref="T219:T220"/>
    <mergeCell ref="T199:T200"/>
    <mergeCell ref="P186:P187"/>
    <mergeCell ref="P160:P161"/>
    <mergeCell ref="S160:S161"/>
    <mergeCell ref="S164:S165"/>
    <mergeCell ref="U168:U169"/>
    <mergeCell ref="S186:S187"/>
    <mergeCell ref="E186:E188"/>
    <mergeCell ref="D186:D188"/>
    <mergeCell ref="O107:O110"/>
    <mergeCell ref="N107:N110"/>
    <mergeCell ref="C156:C159"/>
    <mergeCell ref="C137:C140"/>
    <mergeCell ref="P111:P112"/>
    <mergeCell ref="S129:S130"/>
    <mergeCell ref="T217:T218"/>
    <mergeCell ref="S111:S112"/>
    <mergeCell ref="S107:S108"/>
    <mergeCell ref="T172:T174"/>
    <mergeCell ref="G141:G144"/>
    <mergeCell ref="T211:T212"/>
    <mergeCell ref="N141:N144"/>
    <mergeCell ref="E145:E147"/>
    <mergeCell ref="D145:D147"/>
    <mergeCell ref="C145:C147"/>
    <mergeCell ref="N137:N140"/>
    <mergeCell ref="N145:N147"/>
    <mergeCell ref="D107:D110"/>
    <mergeCell ref="C107:C110"/>
    <mergeCell ref="G137:G140"/>
    <mergeCell ref="F137:F140"/>
    <mergeCell ref="J90:J91"/>
    <mergeCell ref="M90:M91"/>
    <mergeCell ref="F178:F181"/>
    <mergeCell ref="E178:E181"/>
    <mergeCell ref="D178:D181"/>
    <mergeCell ref="C178:C181"/>
    <mergeCell ref="G189:G190"/>
    <mergeCell ref="F189:F190"/>
    <mergeCell ref="F170:F171"/>
    <mergeCell ref="D137:D140"/>
    <mergeCell ref="C184:C185"/>
    <mergeCell ref="D184:D185"/>
    <mergeCell ref="B88:B89"/>
    <mergeCell ref="C88:C89"/>
    <mergeCell ref="D88:D89"/>
    <mergeCell ref="B62:B63"/>
    <mergeCell ref="D156:D159"/>
    <mergeCell ref="B71:B72"/>
    <mergeCell ref="G71:G72"/>
    <mergeCell ref="B73:B74"/>
    <mergeCell ref="F71:F72"/>
    <mergeCell ref="D182:D183"/>
    <mergeCell ref="E182:E183"/>
    <mergeCell ref="C90:C91"/>
    <mergeCell ref="B90:B91"/>
    <mergeCell ref="G92:G101"/>
    <mergeCell ref="H73:H74"/>
    <mergeCell ref="H67:H68"/>
    <mergeCell ref="F85:F87"/>
    <mergeCell ref="G85:G87"/>
    <mergeCell ref="G107:G110"/>
    <mergeCell ref="H71:H72"/>
    <mergeCell ref="G281:G282"/>
    <mergeCell ref="G394:G395"/>
    <mergeCell ref="F394:F395"/>
    <mergeCell ref="A440:G440"/>
    <mergeCell ref="F341:F342"/>
    <mergeCell ref="F441:F448"/>
    <mergeCell ref="F321:F322"/>
    <mergeCell ref="G156:G159"/>
    <mergeCell ref="F156:F159"/>
    <mergeCell ref="A145:A147"/>
    <mergeCell ref="F195:F196"/>
    <mergeCell ref="F197:F198"/>
    <mergeCell ref="E197:E198"/>
    <mergeCell ref="C261:C262"/>
    <mergeCell ref="A247:A248"/>
    <mergeCell ref="A243:A244"/>
    <mergeCell ref="A241:A242"/>
    <mergeCell ref="B164:B165"/>
    <mergeCell ref="B166:B167"/>
    <mergeCell ref="G170:G171"/>
    <mergeCell ref="B184:B185"/>
    <mergeCell ref="E184:E185"/>
    <mergeCell ref="A184:A185"/>
    <mergeCell ref="F145:F147"/>
    <mergeCell ref="B148:B151"/>
    <mergeCell ref="A148:A151"/>
    <mergeCell ref="E166:E167"/>
    <mergeCell ref="B156:B159"/>
    <mergeCell ref="A195:A196"/>
    <mergeCell ref="B199:B200"/>
    <mergeCell ref="B189:B190"/>
    <mergeCell ref="A189:A190"/>
    <mergeCell ref="Y592:Y593"/>
    <mergeCell ref="V563:V564"/>
    <mergeCell ref="V588:V589"/>
    <mergeCell ref="V592:V593"/>
    <mergeCell ref="J516:J517"/>
    <mergeCell ref="M516:M517"/>
    <mergeCell ref="P510:P511"/>
    <mergeCell ref="C301:C302"/>
    <mergeCell ref="D189:D190"/>
    <mergeCell ref="C277:C278"/>
    <mergeCell ref="D285:D286"/>
    <mergeCell ref="C289:C290"/>
    <mergeCell ref="E441:E448"/>
    <mergeCell ref="C275:C276"/>
    <mergeCell ref="C279:C280"/>
    <mergeCell ref="G305:G306"/>
    <mergeCell ref="G273:G274"/>
    <mergeCell ref="G465:G466"/>
    <mergeCell ref="C321:C322"/>
    <mergeCell ref="D394:D395"/>
    <mergeCell ref="E285:E286"/>
    <mergeCell ref="F277:F278"/>
    <mergeCell ref="E277:E278"/>
    <mergeCell ref="F281:F282"/>
    <mergeCell ref="T209:T210"/>
    <mergeCell ref="G579:G583"/>
    <mergeCell ref="C189:C190"/>
    <mergeCell ref="C199:C200"/>
    <mergeCell ref="C197:C198"/>
    <mergeCell ref="D279:D280"/>
    <mergeCell ref="G231:G232"/>
    <mergeCell ref="F279:F280"/>
    <mergeCell ref="AA607:AA608"/>
    <mergeCell ref="AP596:AP597"/>
    <mergeCell ref="AP598:AP599"/>
    <mergeCell ref="AM598:AM599"/>
    <mergeCell ref="AN598:AN599"/>
    <mergeCell ref="AJ603:AJ604"/>
    <mergeCell ref="AO598:AO599"/>
    <mergeCell ref="AK596:AK597"/>
    <mergeCell ref="AJ607:AJ608"/>
    <mergeCell ref="AO603:AO604"/>
    <mergeCell ref="AD596:AD597"/>
    <mergeCell ref="AE596:AE597"/>
    <mergeCell ref="AA596:AA597"/>
    <mergeCell ref="AJ596:AJ597"/>
    <mergeCell ref="AP605:AP606"/>
    <mergeCell ref="AR596:AR597"/>
    <mergeCell ref="AR598:AR599"/>
    <mergeCell ref="AE605:AE606"/>
    <mergeCell ref="AD603:AD604"/>
    <mergeCell ref="AE603:AE604"/>
    <mergeCell ref="AF598:AF599"/>
    <mergeCell ref="AN603:AN604"/>
    <mergeCell ref="AO605:AO606"/>
    <mergeCell ref="AP607:AP608"/>
    <mergeCell ref="AH603:AH604"/>
    <mergeCell ref="AM596:AM597"/>
    <mergeCell ref="AO596:AO597"/>
    <mergeCell ref="AM607:AM608"/>
    <mergeCell ref="AK603:AK604"/>
    <mergeCell ref="AH607:AH608"/>
    <mergeCell ref="AF603:AF604"/>
    <mergeCell ref="AA611:AA612"/>
    <mergeCell ref="AB611:AB612"/>
    <mergeCell ref="AK598:AK599"/>
    <mergeCell ref="AE607:AE608"/>
    <mergeCell ref="AB596:AB597"/>
    <mergeCell ref="AC596:AC597"/>
    <mergeCell ref="AA603:AA604"/>
    <mergeCell ref="Z603:Z604"/>
    <mergeCell ref="S182:S183"/>
    <mergeCell ref="P107:P108"/>
    <mergeCell ref="P97:P98"/>
    <mergeCell ref="S510:S511"/>
    <mergeCell ref="P148:P149"/>
    <mergeCell ref="S148:S149"/>
    <mergeCell ref="V219:V220"/>
    <mergeCell ref="V275:V276"/>
    <mergeCell ref="AA301:AA302"/>
    <mergeCell ref="Z301:Z302"/>
    <mergeCell ref="V311:V312"/>
    <mergeCell ref="V211:V212"/>
    <mergeCell ref="V237:V238"/>
    <mergeCell ref="V239:V240"/>
    <mergeCell ref="T203:T204"/>
    <mergeCell ref="S141:S142"/>
    <mergeCell ref="S137:S138"/>
    <mergeCell ref="P152:P153"/>
    <mergeCell ref="U186:U188"/>
    <mergeCell ref="Y594:Y595"/>
    <mergeCell ref="Y598:Y599"/>
    <mergeCell ref="Y607:Y608"/>
    <mergeCell ref="U211:U212"/>
    <mergeCell ref="T221:T222"/>
    <mergeCell ref="AG613:AG614"/>
    <mergeCell ref="AM615:AM616"/>
    <mergeCell ref="AN615:AN616"/>
    <mergeCell ref="Y797:Y798"/>
    <mergeCell ref="AO615:AO616"/>
    <mergeCell ref="Y615:Y616"/>
    <mergeCell ref="AL615:AL616"/>
    <mergeCell ref="Z613:Z614"/>
    <mergeCell ref="AA613:AA614"/>
    <mergeCell ref="L607:L608"/>
    <mergeCell ref="AB607:AB608"/>
    <mergeCell ref="V605:V606"/>
    <mergeCell ref="AI607:AI608"/>
    <mergeCell ref="AD605:AD606"/>
    <mergeCell ref="T607:T608"/>
    <mergeCell ref="AI605:AI606"/>
    <mergeCell ref="AB613:AB614"/>
    <mergeCell ref="Z611:Z612"/>
    <mergeCell ref="AF611:AF612"/>
    <mergeCell ref="AL611:AL612"/>
    <mergeCell ref="U607:U608"/>
    <mergeCell ref="AG605:AG606"/>
    <mergeCell ref="AJ605:AJ606"/>
    <mergeCell ref="AG607:AG608"/>
    <mergeCell ref="Y605:Y606"/>
    <mergeCell ref="AA605:AA606"/>
    <mergeCell ref="AB605:AB606"/>
    <mergeCell ref="AC605:AC606"/>
    <mergeCell ref="AF607:AF608"/>
    <mergeCell ref="AH605:AH606"/>
    <mergeCell ref="V607:V608"/>
    <mergeCell ref="Z609:Z610"/>
    <mergeCell ref="L615:L616"/>
    <mergeCell ref="J619:J620"/>
    <mergeCell ref="K619:K620"/>
    <mergeCell ref="AJ623:AJ624"/>
    <mergeCell ref="AF623:AF624"/>
    <mergeCell ref="K615:K616"/>
    <mergeCell ref="AI623:AI624"/>
    <mergeCell ref="T619:T622"/>
    <mergeCell ref="T615:T618"/>
    <mergeCell ref="I619:I620"/>
    <mergeCell ref="V615:V616"/>
    <mergeCell ref="V619:V620"/>
    <mergeCell ref="T795:T796"/>
    <mergeCell ref="AL807:AL808"/>
    <mergeCell ref="AL801:AL802"/>
    <mergeCell ref="AM801:AM802"/>
    <mergeCell ref="AG623:AG624"/>
    <mergeCell ref="Z623:Z624"/>
    <mergeCell ref="I623:I624"/>
    <mergeCell ref="AF619:AF620"/>
    <mergeCell ref="AG619:AG620"/>
    <mergeCell ref="AL623:AL624"/>
    <mergeCell ref="AM623:AM624"/>
    <mergeCell ref="AH623:AH624"/>
    <mergeCell ref="V797:V798"/>
    <mergeCell ref="L619:L620"/>
    <mergeCell ref="AH619:AH620"/>
    <mergeCell ref="AI619:AI620"/>
    <mergeCell ref="AK619:AK620"/>
    <mergeCell ref="Z803:Z804"/>
    <mergeCell ref="AA803:AA804"/>
    <mergeCell ref="AL619:AL620"/>
    <mergeCell ref="Y619:Y620"/>
    <mergeCell ref="AN623:AN624"/>
    <mergeCell ref="AO623:AO624"/>
    <mergeCell ref="AK623:AK624"/>
    <mergeCell ref="AA623:AA624"/>
    <mergeCell ref="Y623:Y624"/>
    <mergeCell ref="X623:X624"/>
    <mergeCell ref="W623:W624"/>
    <mergeCell ref="V623:V624"/>
    <mergeCell ref="U623:U624"/>
    <mergeCell ref="T623:T624"/>
    <mergeCell ref="AM619:AM620"/>
    <mergeCell ref="AF833:AF834"/>
    <mergeCell ref="AM813:AM814"/>
    <mergeCell ref="AN813:AN814"/>
    <mergeCell ref="AL819:AL820"/>
    <mergeCell ref="AM819:AM820"/>
    <mergeCell ref="AN819:AN820"/>
    <mergeCell ref="AH831:AH832"/>
    <mergeCell ref="AK831:AK832"/>
    <mergeCell ref="AB829:AB830"/>
    <mergeCell ref="AL799:AL800"/>
    <mergeCell ref="Z805:Z806"/>
    <mergeCell ref="AA805:AA806"/>
    <mergeCell ref="AB805:AB806"/>
    <mergeCell ref="AE805:AE806"/>
    <mergeCell ref="Z811:Z812"/>
    <mergeCell ref="AA811:AA812"/>
    <mergeCell ref="AB811:AB812"/>
    <mergeCell ref="AE829:AE830"/>
    <mergeCell ref="AA817:AA818"/>
    <mergeCell ref="AM807:AM808"/>
    <mergeCell ref="F803:F804"/>
    <mergeCell ref="AE811:AE812"/>
    <mergeCell ref="AG809:AG810"/>
    <mergeCell ref="U797:U798"/>
    <mergeCell ref="D805:D806"/>
    <mergeCell ref="AF809:AF810"/>
    <mergeCell ref="E827:E828"/>
    <mergeCell ref="AF825:AF826"/>
    <mergeCell ref="E819:E820"/>
    <mergeCell ref="G819:G820"/>
    <mergeCell ref="Z829:Z830"/>
    <mergeCell ref="AA829:AA830"/>
    <mergeCell ref="C815:C816"/>
    <mergeCell ref="D815:D816"/>
    <mergeCell ref="E815:E816"/>
    <mergeCell ref="F815:F816"/>
    <mergeCell ref="G815:G816"/>
    <mergeCell ref="C803:C804"/>
    <mergeCell ref="D803:D804"/>
    <mergeCell ref="G809:G810"/>
    <mergeCell ref="E825:E826"/>
    <mergeCell ref="D819:D820"/>
    <mergeCell ref="F819:F820"/>
    <mergeCell ref="AB803:AB804"/>
    <mergeCell ref="F797:F798"/>
    <mergeCell ref="D799:D800"/>
    <mergeCell ref="E805:E806"/>
    <mergeCell ref="F805:F806"/>
    <mergeCell ref="G805:G806"/>
    <mergeCell ref="G827:G828"/>
    <mergeCell ref="D827:D828"/>
    <mergeCell ref="G803:G804"/>
    <mergeCell ref="AF831:AF832"/>
    <mergeCell ref="AG831:AG832"/>
    <mergeCell ref="AG825:AG826"/>
    <mergeCell ref="AF827:AF828"/>
    <mergeCell ref="AG827:AG828"/>
    <mergeCell ref="AH827:AH828"/>
    <mergeCell ref="AK827:AK828"/>
    <mergeCell ref="Z821:Z822"/>
    <mergeCell ref="AA821:AA822"/>
    <mergeCell ref="AB821:AB822"/>
    <mergeCell ref="AE821:AE822"/>
    <mergeCell ref="Z817:Z818"/>
    <mergeCell ref="Z861:Z863"/>
    <mergeCell ref="G835:G836"/>
    <mergeCell ref="G833:G834"/>
    <mergeCell ref="G853:G855"/>
    <mergeCell ref="Y849:Y850"/>
    <mergeCell ref="Y859:Y860"/>
    <mergeCell ref="G859:G860"/>
    <mergeCell ref="G823:G824"/>
    <mergeCell ref="V859:V860"/>
    <mergeCell ref="V849:V850"/>
    <mergeCell ref="AA843:AA844"/>
    <mergeCell ref="AB843:AB844"/>
    <mergeCell ref="AE843:AE844"/>
    <mergeCell ref="D882:D884"/>
    <mergeCell ref="F882:F884"/>
    <mergeCell ref="E876:E878"/>
    <mergeCell ref="F867:F869"/>
    <mergeCell ref="G867:G869"/>
    <mergeCell ref="AB867:AB868"/>
    <mergeCell ref="AE867:AE869"/>
    <mergeCell ref="E870:E872"/>
    <mergeCell ref="F870:F872"/>
    <mergeCell ref="D873:D875"/>
    <mergeCell ref="E873:E875"/>
    <mergeCell ref="F873:F875"/>
    <mergeCell ref="AF882:AF884"/>
    <mergeCell ref="AG882:AG884"/>
    <mergeCell ref="AH882:AH883"/>
    <mergeCell ref="AH867:AH868"/>
    <mergeCell ref="AA867:AA869"/>
    <mergeCell ref="Z867:Z869"/>
    <mergeCell ref="AB870:AB871"/>
    <mergeCell ref="AE870:AE872"/>
    <mergeCell ref="E882:E884"/>
    <mergeCell ref="D867:D869"/>
    <mergeCell ref="G882:G884"/>
    <mergeCell ref="B906:B907"/>
    <mergeCell ref="C906:C907"/>
    <mergeCell ref="D906:D907"/>
    <mergeCell ref="E906:E907"/>
    <mergeCell ref="F906:F907"/>
    <mergeCell ref="G906:G907"/>
    <mergeCell ref="AH908:AH909"/>
    <mergeCell ref="AK882:AK884"/>
    <mergeCell ref="AF891:AF893"/>
    <mergeCell ref="AG891:AG893"/>
    <mergeCell ref="AH891:AH892"/>
    <mergeCell ref="AH885:AH886"/>
    <mergeCell ref="AF885:AF887"/>
    <mergeCell ref="AG885:AG887"/>
    <mergeCell ref="AK885:AK887"/>
    <mergeCell ref="D888:D890"/>
    <mergeCell ref="E888:E890"/>
    <mergeCell ref="F888:F890"/>
    <mergeCell ref="Z888:Z890"/>
    <mergeCell ref="AA888:AA890"/>
    <mergeCell ref="AB888:AB889"/>
    <mergeCell ref="AE888:AE890"/>
    <mergeCell ref="V888:V889"/>
    <mergeCell ref="Y888:Y890"/>
    <mergeCell ref="C882:C884"/>
    <mergeCell ref="AG894:AG896"/>
    <mergeCell ref="AH894:AH895"/>
    <mergeCell ref="AK894:AK896"/>
    <mergeCell ref="B897:B899"/>
    <mergeCell ref="C897:C899"/>
    <mergeCell ref="D897:D899"/>
    <mergeCell ref="E897:E899"/>
    <mergeCell ref="B916:B918"/>
    <mergeCell ref="AF943:AF945"/>
    <mergeCell ref="AG943:AG945"/>
    <mergeCell ref="B934:B936"/>
    <mergeCell ref="C934:C936"/>
    <mergeCell ref="D934:D936"/>
    <mergeCell ref="E934:E936"/>
    <mergeCell ref="F934:F936"/>
    <mergeCell ref="AF934:AF936"/>
    <mergeCell ref="B940:B942"/>
    <mergeCell ref="C940:C942"/>
    <mergeCell ref="AG934:AG936"/>
    <mergeCell ref="AF940:AF942"/>
    <mergeCell ref="B894:B895"/>
    <mergeCell ref="C894:C896"/>
    <mergeCell ref="D894:D896"/>
    <mergeCell ref="E894:E896"/>
    <mergeCell ref="F894:F896"/>
    <mergeCell ref="G894:G896"/>
    <mergeCell ref="D900:D902"/>
    <mergeCell ref="E900:E902"/>
    <mergeCell ref="F900:F902"/>
    <mergeCell ref="G900:G902"/>
    <mergeCell ref="D913:D915"/>
    <mergeCell ref="AF919:AF921"/>
    <mergeCell ref="B931:B933"/>
    <mergeCell ref="AG919:AG921"/>
    <mergeCell ref="AG922:AG924"/>
    <mergeCell ref="AF931:AF933"/>
    <mergeCell ref="AG925:AG927"/>
    <mergeCell ref="D903:D905"/>
    <mergeCell ref="E903:E905"/>
    <mergeCell ref="B943:B945"/>
    <mergeCell ref="AH934:AH935"/>
    <mergeCell ref="AK934:AK936"/>
    <mergeCell ref="B937:B939"/>
    <mergeCell ref="C937:C939"/>
    <mergeCell ref="D937:D939"/>
    <mergeCell ref="E937:E939"/>
    <mergeCell ref="F937:F939"/>
    <mergeCell ref="G937:G939"/>
    <mergeCell ref="AF937:AF939"/>
    <mergeCell ref="AG940:AG942"/>
    <mergeCell ref="AH940:AH941"/>
    <mergeCell ref="AK940:AK942"/>
    <mergeCell ref="C925:C927"/>
    <mergeCell ref="AF925:AF927"/>
    <mergeCell ref="AF922:AF924"/>
    <mergeCell ref="B919:B921"/>
    <mergeCell ref="C919:C921"/>
    <mergeCell ref="AH922:AH923"/>
    <mergeCell ref="AH931:AH932"/>
    <mergeCell ref="AK922:AK924"/>
    <mergeCell ref="AH928:AH929"/>
    <mergeCell ref="AK928:AK930"/>
    <mergeCell ref="AH919:AH920"/>
    <mergeCell ref="AK919:AK921"/>
    <mergeCell ref="AH925:AH926"/>
    <mergeCell ref="AK925:AK927"/>
    <mergeCell ref="B928:B930"/>
    <mergeCell ref="C928:C930"/>
    <mergeCell ref="U964:U965"/>
    <mergeCell ref="B964:B965"/>
    <mergeCell ref="C964:C965"/>
    <mergeCell ref="AF961:AF963"/>
    <mergeCell ref="AG961:AG963"/>
    <mergeCell ref="AH961:AH962"/>
    <mergeCell ref="AK961:AK963"/>
    <mergeCell ref="AL984:AL986"/>
    <mergeCell ref="AM984:AM986"/>
    <mergeCell ref="AN984:AN985"/>
    <mergeCell ref="AQ984:AQ986"/>
    <mergeCell ref="B972:B974"/>
    <mergeCell ref="B969:B971"/>
    <mergeCell ref="C969:C971"/>
    <mergeCell ref="AH972:AH973"/>
    <mergeCell ref="AK972:AK974"/>
    <mergeCell ref="AM981:AM983"/>
    <mergeCell ref="AN981:AN982"/>
    <mergeCell ref="C975:C977"/>
    <mergeCell ref="AN975:AN976"/>
    <mergeCell ref="AQ975:AQ977"/>
    <mergeCell ref="C972:C974"/>
    <mergeCell ref="B975:B977"/>
    <mergeCell ref="B966:B968"/>
    <mergeCell ref="C966:C968"/>
    <mergeCell ref="AF966:AF968"/>
    <mergeCell ref="AG966:AG968"/>
    <mergeCell ref="AH966:AH967"/>
    <mergeCell ref="D984:D986"/>
    <mergeCell ref="AN978:AN979"/>
    <mergeCell ref="AQ978:AQ980"/>
    <mergeCell ref="B981:B983"/>
    <mergeCell ref="C981:C983"/>
    <mergeCell ref="D981:D983"/>
    <mergeCell ref="E981:E983"/>
    <mergeCell ref="F981:F983"/>
    <mergeCell ref="G981:G983"/>
    <mergeCell ref="B978:B980"/>
    <mergeCell ref="C978:C980"/>
    <mergeCell ref="D978:D980"/>
    <mergeCell ref="C1012:C1014"/>
    <mergeCell ref="D1012:D1014"/>
    <mergeCell ref="E1012:E1014"/>
    <mergeCell ref="F1012:F1014"/>
    <mergeCell ref="G1012:G1014"/>
    <mergeCell ref="AL999:AL1001"/>
    <mergeCell ref="AM999:AM1001"/>
    <mergeCell ref="AN999:AN1000"/>
    <mergeCell ref="B993:B995"/>
    <mergeCell ref="C993:C995"/>
    <mergeCell ref="E993:E995"/>
    <mergeCell ref="F993:F995"/>
    <mergeCell ref="G993:G995"/>
    <mergeCell ref="E996:E998"/>
    <mergeCell ref="F996:F998"/>
    <mergeCell ref="G996:G998"/>
    <mergeCell ref="AG1007:AG1008"/>
    <mergeCell ref="B1005:B1006"/>
    <mergeCell ref="C1005:C1006"/>
    <mergeCell ref="D1005:D1006"/>
    <mergeCell ref="E1005:E1006"/>
    <mergeCell ref="D1009:D1011"/>
    <mergeCell ref="AL1012:AL1014"/>
    <mergeCell ref="B1002:B1004"/>
    <mergeCell ref="C1002:C1004"/>
    <mergeCell ref="D1002:D1004"/>
    <mergeCell ref="E1002:E1004"/>
    <mergeCell ref="F1002:F1004"/>
    <mergeCell ref="G1002:G1004"/>
    <mergeCell ref="Z1005:Z1006"/>
    <mergeCell ref="AL987:AL989"/>
    <mergeCell ref="AM987:AM989"/>
    <mergeCell ref="AN987:AN988"/>
    <mergeCell ref="AQ987:AQ989"/>
    <mergeCell ref="G1007:G1008"/>
    <mergeCell ref="AN1002:AN1003"/>
    <mergeCell ref="B999:B1001"/>
    <mergeCell ref="D999:D1001"/>
    <mergeCell ref="E1007:E1008"/>
    <mergeCell ref="AL996:AL998"/>
    <mergeCell ref="AM996:AM998"/>
    <mergeCell ref="AN996:AN997"/>
    <mergeCell ref="AQ996:AQ998"/>
    <mergeCell ref="AL993:AL995"/>
    <mergeCell ref="AM993:AM995"/>
    <mergeCell ref="AN993:AN994"/>
    <mergeCell ref="AQ993:AQ995"/>
    <mergeCell ref="B996:B998"/>
    <mergeCell ref="C996:C998"/>
    <mergeCell ref="D996:D998"/>
    <mergeCell ref="C999:C1001"/>
    <mergeCell ref="G999:G1001"/>
    <mergeCell ref="AL1002:AL1004"/>
    <mergeCell ref="AM1002:AM1004"/>
    <mergeCell ref="C1027:C1029"/>
    <mergeCell ref="D1027:D1029"/>
    <mergeCell ref="E1027:E1029"/>
    <mergeCell ref="F1027:F1029"/>
    <mergeCell ref="G1027:G1029"/>
    <mergeCell ref="B1024:B1026"/>
    <mergeCell ref="B1030:B1032"/>
    <mergeCell ref="AL1021:AL1023"/>
    <mergeCell ref="AM1021:AM1023"/>
    <mergeCell ref="D1024:D1026"/>
    <mergeCell ref="AL1015:AL1017"/>
    <mergeCell ref="AM1015:AM1017"/>
    <mergeCell ref="D1021:D1023"/>
    <mergeCell ref="E1021:E1023"/>
    <mergeCell ref="F1021:F1023"/>
    <mergeCell ref="G1021:G1023"/>
    <mergeCell ref="B1021:B1023"/>
    <mergeCell ref="C1021:C1023"/>
    <mergeCell ref="D1018:D1020"/>
    <mergeCell ref="E1018:E1020"/>
    <mergeCell ref="F1018:F1020"/>
    <mergeCell ref="G1018:G1020"/>
    <mergeCell ref="B1018:B1020"/>
    <mergeCell ref="C1018:C1020"/>
    <mergeCell ref="D1030:D1032"/>
    <mergeCell ref="C1024:C1026"/>
    <mergeCell ref="B1012:B1014"/>
    <mergeCell ref="B1045:B1047"/>
    <mergeCell ref="D1048:D1050"/>
    <mergeCell ref="E1048:E1050"/>
    <mergeCell ref="E1051:E1053"/>
    <mergeCell ref="G1054:G1055"/>
    <mergeCell ref="AL1039:AL1041"/>
    <mergeCell ref="AM1039:AM1041"/>
    <mergeCell ref="AN1039:AN1040"/>
    <mergeCell ref="AQ1054:AQ1055"/>
    <mergeCell ref="O1110:O1112"/>
    <mergeCell ref="P1110:P1111"/>
    <mergeCell ref="S1110:S1111"/>
    <mergeCell ref="B1110:B1112"/>
    <mergeCell ref="N1110:N1112"/>
    <mergeCell ref="AL1056:AL1058"/>
    <mergeCell ref="AM1056:AM1058"/>
    <mergeCell ref="AN1056:AN1057"/>
    <mergeCell ref="AQ1056:AQ1058"/>
    <mergeCell ref="F1087:F1089"/>
    <mergeCell ref="G1087:G1089"/>
    <mergeCell ref="G1096:G1098"/>
    <mergeCell ref="D1056:D1058"/>
    <mergeCell ref="E1056:E1058"/>
    <mergeCell ref="F1056:F1058"/>
    <mergeCell ref="G1056:G1058"/>
    <mergeCell ref="AM1059:AM1061"/>
    <mergeCell ref="AN1059:AN1060"/>
    <mergeCell ref="G1033:G1035"/>
    <mergeCell ref="G1030:G1032"/>
    <mergeCell ref="B1027:B1029"/>
    <mergeCell ref="M1081:M1083"/>
    <mergeCell ref="G1059:G1061"/>
    <mergeCell ref="AL1042:AL1044"/>
    <mergeCell ref="D1075:D1077"/>
    <mergeCell ref="C1081:C1083"/>
    <mergeCell ref="E1113:E1114"/>
    <mergeCell ref="D1113:D1114"/>
    <mergeCell ref="G1093:G1095"/>
    <mergeCell ref="F1093:F1095"/>
    <mergeCell ref="E1093:E1095"/>
    <mergeCell ref="D1093:D1095"/>
    <mergeCell ref="D1096:D1098"/>
    <mergeCell ref="C1113:C1114"/>
    <mergeCell ref="E1096:E1098"/>
    <mergeCell ref="D1102:D1103"/>
    <mergeCell ref="E1102:E1103"/>
    <mergeCell ref="C1087:C1089"/>
    <mergeCell ref="C1107:C1109"/>
    <mergeCell ref="C1104:C1106"/>
    <mergeCell ref="E1110:E1112"/>
    <mergeCell ref="D1110:D1112"/>
    <mergeCell ref="C1110:C1112"/>
    <mergeCell ref="C1096:C1098"/>
    <mergeCell ref="G1110:G1112"/>
    <mergeCell ref="F1110:F1112"/>
    <mergeCell ref="F1107:F1109"/>
    <mergeCell ref="F1096:F1098"/>
    <mergeCell ref="E1075:E1077"/>
    <mergeCell ref="F1075:F1077"/>
    <mergeCell ref="G1075:G1077"/>
    <mergeCell ref="D1107:D1109"/>
    <mergeCell ref="AF1064:AF1065"/>
    <mergeCell ref="F1113:F1114"/>
    <mergeCell ref="O1107:O1109"/>
    <mergeCell ref="Y1117:Y1118"/>
    <mergeCell ref="Z1123:Z1125"/>
    <mergeCell ref="AA1123:AA1125"/>
    <mergeCell ref="AB1123:AB1124"/>
    <mergeCell ref="AE1123:AE1127"/>
    <mergeCell ref="Z1126:Z1127"/>
    <mergeCell ref="S1113:S1114"/>
    <mergeCell ref="AB1121:AB1122"/>
    <mergeCell ref="AE1121:AE1122"/>
    <mergeCell ref="AA1126:AA1127"/>
    <mergeCell ref="U1115:U1116"/>
    <mergeCell ref="O1113:O1114"/>
    <mergeCell ref="V1115:V1116"/>
    <mergeCell ref="T1117:T1118"/>
    <mergeCell ref="F1128:F1130"/>
    <mergeCell ref="G1128:G1130"/>
    <mergeCell ref="F1123:F1127"/>
    <mergeCell ref="G1123:G1127"/>
    <mergeCell ref="V1119:V1120"/>
    <mergeCell ref="B1107:B1109"/>
    <mergeCell ref="B1137:B1139"/>
    <mergeCell ref="F1134:F1136"/>
    <mergeCell ref="C1131:C1133"/>
    <mergeCell ref="E1128:E1130"/>
    <mergeCell ref="Y1115:Y1116"/>
    <mergeCell ref="Z1121:Z1122"/>
    <mergeCell ref="AA1121:AA1122"/>
    <mergeCell ref="G1137:G1139"/>
    <mergeCell ref="V1117:V1118"/>
    <mergeCell ref="D1131:D1133"/>
    <mergeCell ref="B1143:B1144"/>
    <mergeCell ref="Y1121:Y1122"/>
    <mergeCell ref="Y1119:Y1120"/>
    <mergeCell ref="U1121:U1122"/>
    <mergeCell ref="T1121:T1122"/>
    <mergeCell ref="U1119:U1120"/>
    <mergeCell ref="T1119:T1120"/>
    <mergeCell ref="B1140:B1142"/>
    <mergeCell ref="C1140:C1142"/>
    <mergeCell ref="D1140:D1142"/>
    <mergeCell ref="E1140:E1142"/>
    <mergeCell ref="C1134:C1136"/>
    <mergeCell ref="B1134:B1136"/>
    <mergeCell ref="B1131:B1133"/>
    <mergeCell ref="E1137:E1139"/>
    <mergeCell ref="E1134:E1136"/>
    <mergeCell ref="G1134:G1136"/>
    <mergeCell ref="C1128:C1130"/>
    <mergeCell ref="F1143:F1144"/>
    <mergeCell ref="F1137:F1139"/>
    <mergeCell ref="C1121:C1122"/>
    <mergeCell ref="D1143:D1144"/>
    <mergeCell ref="F1140:F1142"/>
    <mergeCell ref="B1121:B1122"/>
    <mergeCell ref="C1145:C1147"/>
    <mergeCell ref="D1145:D1147"/>
    <mergeCell ref="E1145:E1147"/>
    <mergeCell ref="F1145:F1147"/>
    <mergeCell ref="G1145:G1147"/>
    <mergeCell ref="D1150:D1152"/>
    <mergeCell ref="E1150:E1152"/>
    <mergeCell ref="F1150:F1152"/>
    <mergeCell ref="G1150:G1152"/>
    <mergeCell ref="B1148:B1149"/>
    <mergeCell ref="B1165:B1166"/>
    <mergeCell ref="C1165:C1166"/>
    <mergeCell ref="D1165:D1166"/>
    <mergeCell ref="AF1159:AF1161"/>
    <mergeCell ref="D1128:D1130"/>
    <mergeCell ref="AF1131:AF1133"/>
    <mergeCell ref="C1150:C1152"/>
    <mergeCell ref="B1150:B1152"/>
    <mergeCell ref="B1159:B1161"/>
    <mergeCell ref="C1162:C1164"/>
    <mergeCell ref="D1162:D1164"/>
    <mergeCell ref="E1162:E1164"/>
    <mergeCell ref="B1153:B1155"/>
    <mergeCell ref="C1153:C1155"/>
    <mergeCell ref="D1153:D1155"/>
    <mergeCell ref="E1153:E1155"/>
    <mergeCell ref="F1153:F1155"/>
    <mergeCell ref="B1145:B1147"/>
    <mergeCell ref="G1159:G1161"/>
    <mergeCell ref="AF1167:AF1169"/>
    <mergeCell ref="AG1167:AG1169"/>
    <mergeCell ref="AH1167:AH1168"/>
    <mergeCell ref="B1170:B1172"/>
    <mergeCell ref="C1173:C1175"/>
    <mergeCell ref="D1173:D1175"/>
    <mergeCell ref="G1173:G1175"/>
    <mergeCell ref="G1167:G1169"/>
    <mergeCell ref="F1173:F1175"/>
    <mergeCell ref="G1156:G1158"/>
    <mergeCell ref="F1162:F1164"/>
    <mergeCell ref="C1159:C1161"/>
    <mergeCell ref="B1167:B1169"/>
    <mergeCell ref="C1167:C1169"/>
    <mergeCell ref="B1173:B1175"/>
    <mergeCell ref="AM1183:AM1184"/>
    <mergeCell ref="B1183:B1184"/>
    <mergeCell ref="C1183:C1184"/>
    <mergeCell ref="D1183:D1184"/>
    <mergeCell ref="E1183:E1184"/>
    <mergeCell ref="F1183:F1184"/>
    <mergeCell ref="G1183:G1184"/>
    <mergeCell ref="AF1173:AF1175"/>
    <mergeCell ref="AG1173:AG1175"/>
    <mergeCell ref="AH1173:AH1174"/>
    <mergeCell ref="AF1170:AF1172"/>
    <mergeCell ref="G1176:G1178"/>
    <mergeCell ref="AH1170:AH1171"/>
    <mergeCell ref="G1162:G1164"/>
    <mergeCell ref="AL1181:AL1182"/>
    <mergeCell ref="AM1179:AM1180"/>
    <mergeCell ref="AL1176:AL1178"/>
    <mergeCell ref="E1165:E1166"/>
    <mergeCell ref="F1165:F1166"/>
    <mergeCell ref="G1165:G1166"/>
    <mergeCell ref="B1156:B1158"/>
    <mergeCell ref="C1156:C1158"/>
    <mergeCell ref="D1156:D1158"/>
    <mergeCell ref="E1156:E1158"/>
    <mergeCell ref="F1156:F1158"/>
    <mergeCell ref="C1148:C1149"/>
    <mergeCell ref="B1181:B1182"/>
    <mergeCell ref="C1181:C1182"/>
    <mergeCell ref="D1181:D1182"/>
    <mergeCell ref="E1181:E1182"/>
    <mergeCell ref="F1181:F1182"/>
    <mergeCell ref="G1181:G1182"/>
    <mergeCell ref="B1179:B1180"/>
    <mergeCell ref="C1179:C1180"/>
    <mergeCell ref="D1159:D1161"/>
    <mergeCell ref="E1159:E1161"/>
    <mergeCell ref="B1176:B1178"/>
    <mergeCell ref="B1191:B1193"/>
    <mergeCell ref="C1191:C1193"/>
    <mergeCell ref="D1191:D1193"/>
    <mergeCell ref="E1191:E1193"/>
    <mergeCell ref="F1191:F1193"/>
    <mergeCell ref="G1191:G1193"/>
    <mergeCell ref="AG1170:AG1172"/>
    <mergeCell ref="B1188:B1190"/>
    <mergeCell ref="C1188:C1190"/>
    <mergeCell ref="D1188:D1190"/>
    <mergeCell ref="E1188:E1190"/>
    <mergeCell ref="B1185:B1187"/>
    <mergeCell ref="C1185:C1187"/>
    <mergeCell ref="D1185:D1187"/>
    <mergeCell ref="E1185:E1187"/>
    <mergeCell ref="F1185:F1187"/>
    <mergeCell ref="G1188:G1190"/>
    <mergeCell ref="F1188:F1190"/>
    <mergeCell ref="G1179:G1180"/>
    <mergeCell ref="C1170:C1172"/>
    <mergeCell ref="F1179:F1180"/>
    <mergeCell ref="C1176:C1178"/>
    <mergeCell ref="C1229:C1230"/>
    <mergeCell ref="C1214:C1215"/>
    <mergeCell ref="AL1200:AL1201"/>
    <mergeCell ref="B1207:B1209"/>
    <mergeCell ref="C1207:C1209"/>
    <mergeCell ref="AG1205:AG1206"/>
    <mergeCell ref="AH1205:AH1206"/>
    <mergeCell ref="D1194:D1196"/>
    <mergeCell ref="E1194:E1196"/>
    <mergeCell ref="F1194:F1196"/>
    <mergeCell ref="G1194:G1196"/>
    <mergeCell ref="AM1218:AM1219"/>
    <mergeCell ref="AM1226:AM1227"/>
    <mergeCell ref="AL1226:AL1227"/>
    <mergeCell ref="AM1220:AM1221"/>
    <mergeCell ref="AN1220:AN1221"/>
    <mergeCell ref="AN1226:AN1227"/>
    <mergeCell ref="AN1218:AN1219"/>
    <mergeCell ref="AL1202:AL1204"/>
    <mergeCell ref="Z1197:Z1199"/>
    <mergeCell ref="AA1197:AA1199"/>
    <mergeCell ref="AB1197:AB1198"/>
    <mergeCell ref="AE1197:AE1199"/>
    <mergeCell ref="F1200:F1201"/>
    <mergeCell ref="G1200:G1201"/>
    <mergeCell ref="G1224:G1225"/>
    <mergeCell ref="AF1210:AF1211"/>
    <mergeCell ref="AN1207:AN1208"/>
    <mergeCell ref="B1197:B1199"/>
    <mergeCell ref="C1197:C1199"/>
    <mergeCell ref="D1197:D1199"/>
    <mergeCell ref="E1197:E1199"/>
    <mergeCell ref="D1222:D1223"/>
    <mergeCell ref="E1222:E1223"/>
    <mergeCell ref="F1222:F1223"/>
    <mergeCell ref="G1222:G1223"/>
    <mergeCell ref="AQ1222:AQ1223"/>
    <mergeCell ref="AL1216:AL1217"/>
    <mergeCell ref="AM1216:AM1217"/>
    <mergeCell ref="AN1216:AN1217"/>
    <mergeCell ref="AM1212:AM1213"/>
    <mergeCell ref="AM1214:AM1215"/>
    <mergeCell ref="AQ1220:AQ1221"/>
    <mergeCell ref="D1231:D1232"/>
    <mergeCell ref="E1231:E1232"/>
    <mergeCell ref="F1231:F1232"/>
    <mergeCell ref="G1231:G1232"/>
    <mergeCell ref="D1229:D1230"/>
    <mergeCell ref="E1229:E1230"/>
    <mergeCell ref="AQ1212:AQ1213"/>
    <mergeCell ref="AL1224:AL1225"/>
    <mergeCell ref="AL1218:AL1219"/>
    <mergeCell ref="AL1222:AL1223"/>
    <mergeCell ref="AM1222:AM1223"/>
    <mergeCell ref="AQ1216:AQ1217"/>
    <mergeCell ref="AN1214:AN1215"/>
    <mergeCell ref="D1214:D1215"/>
    <mergeCell ref="G1212:G1213"/>
    <mergeCell ref="AM1224:AM1225"/>
    <mergeCell ref="B1263:B1264"/>
    <mergeCell ref="C1263:C1264"/>
    <mergeCell ref="D1263:D1264"/>
    <mergeCell ref="E1263:E1264"/>
    <mergeCell ref="F1263:F1264"/>
    <mergeCell ref="F1265:F1266"/>
    <mergeCell ref="D1265:D1266"/>
    <mergeCell ref="G1265:G1266"/>
    <mergeCell ref="E1267:E1268"/>
    <mergeCell ref="G1263:G1264"/>
    <mergeCell ref="C1255:C1256"/>
    <mergeCell ref="B1255:B1256"/>
    <mergeCell ref="F1261:F1262"/>
    <mergeCell ref="C1233:C1234"/>
    <mergeCell ref="D1233:D1234"/>
    <mergeCell ref="E1233:E1234"/>
    <mergeCell ref="F1233:F1234"/>
    <mergeCell ref="F1259:F1260"/>
    <mergeCell ref="B1259:B1260"/>
    <mergeCell ref="C1259:C1260"/>
    <mergeCell ref="D1259:D1260"/>
    <mergeCell ref="E1259:E1260"/>
    <mergeCell ref="E1265:E1266"/>
    <mergeCell ref="C1265:C1266"/>
    <mergeCell ref="B1265:B1266"/>
    <mergeCell ref="C1239:C1240"/>
    <mergeCell ref="B1273:B1274"/>
    <mergeCell ref="C1273:C1274"/>
    <mergeCell ref="D1273:D1274"/>
    <mergeCell ref="E1273:E1274"/>
    <mergeCell ref="F1273:F1274"/>
    <mergeCell ref="G1273:G1274"/>
    <mergeCell ref="AL1273:AL1274"/>
    <mergeCell ref="AM1273:AM1274"/>
    <mergeCell ref="AN1273:AN1274"/>
    <mergeCell ref="AN1275:AN1276"/>
    <mergeCell ref="F1271:F1272"/>
    <mergeCell ref="G1271:G1272"/>
    <mergeCell ref="D1271:D1272"/>
    <mergeCell ref="B1267:B1268"/>
    <mergeCell ref="C1267:C1268"/>
    <mergeCell ref="D1267:D1268"/>
    <mergeCell ref="E1269:E1270"/>
    <mergeCell ref="F1269:F1270"/>
    <mergeCell ref="AN1269:AN1270"/>
    <mergeCell ref="AF1271:AF1272"/>
    <mergeCell ref="AG1271:AG1272"/>
    <mergeCell ref="AH1271:AH1272"/>
    <mergeCell ref="AK1271:AK1272"/>
    <mergeCell ref="F1267:F1268"/>
    <mergeCell ref="G1267:G1268"/>
    <mergeCell ref="G1269:G1270"/>
    <mergeCell ref="AL1269:AL1270"/>
    <mergeCell ref="AM1269:AM1270"/>
    <mergeCell ref="B1281:B1282"/>
    <mergeCell ref="C1281:C1282"/>
    <mergeCell ref="D1281:D1282"/>
    <mergeCell ref="E1281:E1282"/>
    <mergeCell ref="F1281:F1282"/>
    <mergeCell ref="G1281:G1282"/>
    <mergeCell ref="AQ1273:AQ1274"/>
    <mergeCell ref="B1275:B1276"/>
    <mergeCell ref="C1275:C1276"/>
    <mergeCell ref="D1275:D1276"/>
    <mergeCell ref="E1275:E1276"/>
    <mergeCell ref="F1275:F1276"/>
    <mergeCell ref="AQ1287:AQ1288"/>
    <mergeCell ref="B1289:B1290"/>
    <mergeCell ref="C1289:C1290"/>
    <mergeCell ref="D1289:D1290"/>
    <mergeCell ref="E1289:E1290"/>
    <mergeCell ref="F1289:F1290"/>
    <mergeCell ref="G1289:G1290"/>
    <mergeCell ref="F1285:F1286"/>
    <mergeCell ref="G1285:G1286"/>
    <mergeCell ref="AQ1283:AQ1284"/>
    <mergeCell ref="C1283:C1284"/>
    <mergeCell ref="F1283:F1284"/>
    <mergeCell ref="F1279:F1280"/>
    <mergeCell ref="G1279:G1280"/>
    <mergeCell ref="AQ1279:AQ1280"/>
    <mergeCell ref="B1277:B1278"/>
    <mergeCell ref="C1277:C1278"/>
    <mergeCell ref="D1277:D1278"/>
    <mergeCell ref="E1277:E1278"/>
    <mergeCell ref="F1277:F1278"/>
    <mergeCell ref="C1287:C1288"/>
    <mergeCell ref="D1287:D1288"/>
    <mergeCell ref="E1287:E1288"/>
    <mergeCell ref="F1287:F1288"/>
    <mergeCell ref="G1287:G1288"/>
    <mergeCell ref="D1283:D1284"/>
    <mergeCell ref="E1283:E1284"/>
    <mergeCell ref="B1287:B1288"/>
    <mergeCell ref="G1283:G1284"/>
    <mergeCell ref="B1299:B1300"/>
    <mergeCell ref="C1299:C1300"/>
    <mergeCell ref="D1299:D1300"/>
    <mergeCell ref="E1299:E1300"/>
    <mergeCell ref="F1299:F1300"/>
    <mergeCell ref="G1299:G1300"/>
    <mergeCell ref="C1291:C1292"/>
    <mergeCell ref="D1291:D1292"/>
    <mergeCell ref="E1291:E1292"/>
    <mergeCell ref="F1291:F1292"/>
    <mergeCell ref="E1293:E1294"/>
    <mergeCell ref="F1293:F1294"/>
    <mergeCell ref="G1293:G1294"/>
    <mergeCell ref="B1291:B1292"/>
    <mergeCell ref="B1295:B1296"/>
    <mergeCell ref="C1295:C1296"/>
    <mergeCell ref="D1295:D1296"/>
    <mergeCell ref="E1295:E1296"/>
    <mergeCell ref="F1295:F1296"/>
    <mergeCell ref="G1295:G1296"/>
    <mergeCell ref="B1293:B1294"/>
    <mergeCell ref="C1293:C1294"/>
    <mergeCell ref="D1293:D1294"/>
    <mergeCell ref="E1329:E1331"/>
    <mergeCell ref="B1323:B1325"/>
    <mergeCell ref="D1314:D1316"/>
    <mergeCell ref="E1314:E1316"/>
    <mergeCell ref="F1314:F1316"/>
    <mergeCell ref="G1314:G1316"/>
    <mergeCell ref="G1335:G1337"/>
    <mergeCell ref="E1332:E1334"/>
    <mergeCell ref="E1301:E1302"/>
    <mergeCell ref="F1301:F1302"/>
    <mergeCell ref="G1301:G1302"/>
    <mergeCell ref="E1308:E1311"/>
    <mergeCell ref="D1308:D1311"/>
    <mergeCell ref="C1308:C1311"/>
    <mergeCell ref="B1308:B1311"/>
    <mergeCell ref="B1329:B1331"/>
    <mergeCell ref="B1317:B1319"/>
    <mergeCell ref="C1317:C1319"/>
    <mergeCell ref="D1317:D1319"/>
    <mergeCell ref="E1317:E1319"/>
    <mergeCell ref="B1320:B1322"/>
    <mergeCell ref="C1320:C1322"/>
    <mergeCell ref="F1303:F1304"/>
    <mergeCell ref="E1303:E1304"/>
    <mergeCell ref="G1326:G1328"/>
    <mergeCell ref="C1329:C1331"/>
    <mergeCell ref="F1317:F1319"/>
    <mergeCell ref="B1312:B1313"/>
    <mergeCell ref="C1312:C1313"/>
    <mergeCell ref="Z1326:Z1328"/>
    <mergeCell ref="AA1326:AA1328"/>
    <mergeCell ref="G1320:G1322"/>
    <mergeCell ref="C1323:C1325"/>
    <mergeCell ref="B1314:B1316"/>
    <mergeCell ref="C1314:C1316"/>
    <mergeCell ref="B1297:B1298"/>
    <mergeCell ref="C1297:C1298"/>
    <mergeCell ref="D1297:D1298"/>
    <mergeCell ref="E1297:E1298"/>
    <mergeCell ref="F1297:F1298"/>
    <mergeCell ref="G1297:G1298"/>
    <mergeCell ref="B1332:B1334"/>
    <mergeCell ref="C1332:C1334"/>
    <mergeCell ref="D1332:D1334"/>
    <mergeCell ref="D1347:D1349"/>
    <mergeCell ref="E1347:E1349"/>
    <mergeCell ref="F1347:F1349"/>
    <mergeCell ref="G1347:G1349"/>
    <mergeCell ref="B1338:B1340"/>
    <mergeCell ref="C1338:C1340"/>
    <mergeCell ref="D1338:D1340"/>
    <mergeCell ref="E1338:E1340"/>
    <mergeCell ref="F1338:F1340"/>
    <mergeCell ref="G1338:G1340"/>
    <mergeCell ref="F1332:F1334"/>
    <mergeCell ref="D1303:D1304"/>
    <mergeCell ref="C1303:C1304"/>
    <mergeCell ref="B1303:B1304"/>
    <mergeCell ref="G1312:G1313"/>
    <mergeCell ref="G1317:G1319"/>
    <mergeCell ref="G1303:G1304"/>
    <mergeCell ref="B1326:B1328"/>
    <mergeCell ref="C1326:C1328"/>
    <mergeCell ref="D1326:D1328"/>
    <mergeCell ref="E1326:E1328"/>
    <mergeCell ref="F1326:F1328"/>
    <mergeCell ref="F1365:F1367"/>
    <mergeCell ref="G1365:G1367"/>
    <mergeCell ref="B1362:B1364"/>
    <mergeCell ref="C1362:C1364"/>
    <mergeCell ref="D1362:D1364"/>
    <mergeCell ref="E1362:E1364"/>
    <mergeCell ref="F1362:F1364"/>
    <mergeCell ref="G1362:G1364"/>
    <mergeCell ref="B1350:B1352"/>
    <mergeCell ref="C1350:C1352"/>
    <mergeCell ref="C1347:C1349"/>
    <mergeCell ref="B1344:B1346"/>
    <mergeCell ref="D1350:D1352"/>
    <mergeCell ref="D1341:D1343"/>
    <mergeCell ref="E1341:E1343"/>
    <mergeCell ref="F1341:F1343"/>
    <mergeCell ref="C1359:C1361"/>
    <mergeCell ref="D1359:D1361"/>
    <mergeCell ref="G1356:G1358"/>
    <mergeCell ref="G1359:G1361"/>
    <mergeCell ref="E1359:E1361"/>
    <mergeCell ref="F1359:F1361"/>
    <mergeCell ref="B1353:B1355"/>
    <mergeCell ref="C1344:C1346"/>
    <mergeCell ref="D1335:D1337"/>
    <mergeCell ref="E1335:E1337"/>
    <mergeCell ref="F1335:F1337"/>
    <mergeCell ref="D1356:D1358"/>
    <mergeCell ref="E1356:E1358"/>
    <mergeCell ref="C1356:C1358"/>
    <mergeCell ref="C1353:C1355"/>
    <mergeCell ref="E1353:E1355"/>
    <mergeCell ref="F1353:F1355"/>
    <mergeCell ref="G1341:G1343"/>
    <mergeCell ref="H1415:H1416"/>
    <mergeCell ref="I1415:I1416"/>
    <mergeCell ref="M1415:M1416"/>
    <mergeCell ref="B1386:K1386"/>
    <mergeCell ref="D1415:D1416"/>
    <mergeCell ref="E1415:E1416"/>
    <mergeCell ref="AK1444:AK1446"/>
    <mergeCell ref="V1441:V1443"/>
    <mergeCell ref="Y1441:Y1443"/>
    <mergeCell ref="V1444:V1446"/>
    <mergeCell ref="Y1444:Y1446"/>
    <mergeCell ref="J1430:L1430"/>
    <mergeCell ref="J1438:L1438"/>
    <mergeCell ref="J1439:L1439"/>
    <mergeCell ref="J1440:L1440"/>
    <mergeCell ref="J1431:L1431"/>
    <mergeCell ref="P1431:R1431"/>
    <mergeCell ref="P1434:P1435"/>
    <mergeCell ref="M1427:M1428"/>
    <mergeCell ref="AB1434:AB1435"/>
    <mergeCell ref="M1404:M1406"/>
    <mergeCell ref="J1415:J1416"/>
    <mergeCell ref="V1427:V1428"/>
    <mergeCell ref="Y1427:Y1428"/>
    <mergeCell ref="J1434:J1435"/>
    <mergeCell ref="AN1432:AN1433"/>
    <mergeCell ref="Y1432:Y1433"/>
    <mergeCell ref="P1441:P1443"/>
    <mergeCell ref="S1441:S1443"/>
    <mergeCell ref="B1415:B1416"/>
    <mergeCell ref="P1427:P1428"/>
    <mergeCell ref="M1432:M1433"/>
    <mergeCell ref="S1432:S1433"/>
    <mergeCell ref="P1432:P1433"/>
    <mergeCell ref="AH1447:AH1449"/>
    <mergeCell ref="AN1441:AN1443"/>
    <mergeCell ref="AH1441:AH1443"/>
    <mergeCell ref="AN1434:AN1435"/>
    <mergeCell ref="AB1436:AB1437"/>
    <mergeCell ref="AE1436:AE1437"/>
    <mergeCell ref="AH1450:AH1452"/>
    <mergeCell ref="J1427:J1428"/>
    <mergeCell ref="J1444:J1446"/>
    <mergeCell ref="V1430:X1430"/>
    <mergeCell ref="V1431:X1431"/>
    <mergeCell ref="AH1432:AH1433"/>
    <mergeCell ref="AB1432:AB1433"/>
    <mergeCell ref="AK1432:AK1433"/>
    <mergeCell ref="AH1434:AH1435"/>
    <mergeCell ref="AK1434:AK1435"/>
    <mergeCell ref="AK1427:AK1428"/>
    <mergeCell ref="J1436:J1437"/>
    <mergeCell ref="M1436:M1437"/>
    <mergeCell ref="AB1429:AD1429"/>
    <mergeCell ref="AE1427:AE1428"/>
    <mergeCell ref="AR1404:AR1406"/>
    <mergeCell ref="AR1415:AR1416"/>
    <mergeCell ref="AN1440:AP1440"/>
    <mergeCell ref="AK1436:AK1437"/>
    <mergeCell ref="AR1478:AR1479"/>
    <mergeCell ref="AB1478:AB1479"/>
    <mergeCell ref="AE1478:AE1479"/>
    <mergeCell ref="AH1478:AH1479"/>
    <mergeCell ref="AK1478:AK1479"/>
    <mergeCell ref="AN1478:AN1479"/>
    <mergeCell ref="AH1438:AJ1438"/>
    <mergeCell ref="AH1439:AJ1439"/>
    <mergeCell ref="V1447:V1449"/>
    <mergeCell ref="Y1447:Y1449"/>
    <mergeCell ref="AB1447:AB1449"/>
    <mergeCell ref="AE1447:AE1449"/>
    <mergeCell ref="V1478:V1479"/>
    <mergeCell ref="AQ1444:AQ1446"/>
    <mergeCell ref="AN1447:AN1449"/>
    <mergeCell ref="AN1427:AN1428"/>
    <mergeCell ref="AH1431:AJ1431"/>
    <mergeCell ref="AN1429:AP1429"/>
    <mergeCell ref="AN1430:AP1430"/>
    <mergeCell ref="AN1436:AN1437"/>
    <mergeCell ref="AE1432:AE1433"/>
    <mergeCell ref="AN1450:AN1452"/>
    <mergeCell ref="V1434:V1435"/>
    <mergeCell ref="Y1434:Y1435"/>
    <mergeCell ref="V1436:V1437"/>
    <mergeCell ref="Y1436:Y1437"/>
    <mergeCell ref="AQ1427:AQ1428"/>
    <mergeCell ref="Y1478:Y1479"/>
    <mergeCell ref="V1432:V1433"/>
    <mergeCell ref="AQ1478:AQ1479"/>
    <mergeCell ref="J1478:J1479"/>
    <mergeCell ref="A1489:S1489"/>
    <mergeCell ref="AK1447:AK1449"/>
    <mergeCell ref="E1374:E1376"/>
    <mergeCell ref="F1374:F1376"/>
    <mergeCell ref="AH1429:AJ1429"/>
    <mergeCell ref="AH1430:AJ1430"/>
    <mergeCell ref="AB1441:AB1443"/>
    <mergeCell ref="A1423:C1423"/>
    <mergeCell ref="AH1436:AH1437"/>
    <mergeCell ref="G1380:G1382"/>
    <mergeCell ref="AE1441:AE1443"/>
    <mergeCell ref="AB1444:AB1446"/>
    <mergeCell ref="F1380:F1382"/>
    <mergeCell ref="AH1440:AJ1440"/>
    <mergeCell ref="AN1438:AP1438"/>
    <mergeCell ref="AN1439:AP1439"/>
    <mergeCell ref="S1478:S1479"/>
    <mergeCell ref="J1429:L1429"/>
    <mergeCell ref="A1380:A1381"/>
    <mergeCell ref="J1432:J1433"/>
    <mergeCell ref="AQ1441:AQ1443"/>
    <mergeCell ref="AH1427:AH1428"/>
    <mergeCell ref="J1441:J1443"/>
    <mergeCell ref="M1441:M1443"/>
    <mergeCell ref="G1374:G1376"/>
    <mergeCell ref="S1427:S1428"/>
    <mergeCell ref="E1377:E1379"/>
    <mergeCell ref="Y1450:Y1452"/>
    <mergeCell ref="AN1444:AN1446"/>
    <mergeCell ref="C30:C31"/>
    <mergeCell ref="A38:A40"/>
    <mergeCell ref="H43:H44"/>
    <mergeCell ref="B43:B44"/>
    <mergeCell ref="G35:G37"/>
    <mergeCell ref="D38:D40"/>
    <mergeCell ref="I32:I34"/>
    <mergeCell ref="H32:H34"/>
    <mergeCell ref="G32:G34"/>
    <mergeCell ref="D53:D55"/>
    <mergeCell ref="E49:E50"/>
    <mergeCell ref="C53:C55"/>
    <mergeCell ref="G30:G31"/>
    <mergeCell ref="B30:B31"/>
    <mergeCell ref="H26:H27"/>
    <mergeCell ref="I26:I27"/>
    <mergeCell ref="J26:J27"/>
    <mergeCell ref="F30:F31"/>
    <mergeCell ref="E30:E31"/>
    <mergeCell ref="B35:B37"/>
    <mergeCell ref="B38:B40"/>
    <mergeCell ref="A43:A44"/>
    <mergeCell ref="G41:G42"/>
    <mergeCell ref="F41:F42"/>
    <mergeCell ref="E41:E42"/>
    <mergeCell ref="D41:D42"/>
    <mergeCell ref="C41:C42"/>
    <mergeCell ref="B41:B42"/>
    <mergeCell ref="A41:A42"/>
    <mergeCell ref="G43:G44"/>
    <mergeCell ref="F43:F44"/>
    <mergeCell ref="E43:E44"/>
    <mergeCell ref="A35:A37"/>
    <mergeCell ref="D49:D50"/>
    <mergeCell ref="B32:B34"/>
    <mergeCell ref="A56:A57"/>
    <mergeCell ref="G58:G59"/>
    <mergeCell ref="F58:F59"/>
    <mergeCell ref="E58:E59"/>
    <mergeCell ref="D58:D59"/>
    <mergeCell ref="C58:C59"/>
    <mergeCell ref="B58:B59"/>
    <mergeCell ref="A58:A59"/>
    <mergeCell ref="B60:B61"/>
    <mergeCell ref="A60:A61"/>
    <mergeCell ref="A73:A74"/>
    <mergeCell ref="G73:G74"/>
    <mergeCell ref="F73:F74"/>
    <mergeCell ref="E73:E74"/>
    <mergeCell ref="C49:C50"/>
    <mergeCell ref="B49:B50"/>
    <mergeCell ref="A49:A50"/>
    <mergeCell ref="G51:G52"/>
    <mergeCell ref="F51:F52"/>
    <mergeCell ref="E51:E52"/>
    <mergeCell ref="D51:D52"/>
    <mergeCell ref="C51:C52"/>
    <mergeCell ref="B51:B52"/>
    <mergeCell ref="A51:A52"/>
    <mergeCell ref="G53:G55"/>
    <mergeCell ref="F53:F55"/>
    <mergeCell ref="E53:E55"/>
    <mergeCell ref="B53:B55"/>
    <mergeCell ref="A53:A55"/>
    <mergeCell ref="G49:G50"/>
    <mergeCell ref="F49:F50"/>
    <mergeCell ref="A62:A63"/>
    <mergeCell ref="G64:G66"/>
    <mergeCell ref="F64:F66"/>
    <mergeCell ref="E64:E66"/>
    <mergeCell ref="D64:D66"/>
    <mergeCell ref="C64:C66"/>
    <mergeCell ref="B64:B66"/>
    <mergeCell ref="A64:A66"/>
    <mergeCell ref="E69:E70"/>
    <mergeCell ref="D69:D70"/>
    <mergeCell ref="C69:C70"/>
    <mergeCell ref="B69:B70"/>
    <mergeCell ref="A69:A70"/>
    <mergeCell ref="G69:G70"/>
    <mergeCell ref="B67:B68"/>
    <mergeCell ref="A67:A68"/>
    <mergeCell ref="G67:G68"/>
    <mergeCell ref="F67:F68"/>
    <mergeCell ref="F69:F70"/>
    <mergeCell ref="B56:B57"/>
    <mergeCell ref="E56:E57"/>
    <mergeCell ref="C56:C57"/>
    <mergeCell ref="F60:F61"/>
    <mergeCell ref="E60:E61"/>
    <mergeCell ref="D60:D61"/>
    <mergeCell ref="C60:C61"/>
    <mergeCell ref="G62:G63"/>
    <mergeCell ref="F62:F63"/>
    <mergeCell ref="E62:E63"/>
    <mergeCell ref="D62:D63"/>
    <mergeCell ref="A71:A72"/>
    <mergeCell ref="B137:B140"/>
    <mergeCell ref="F164:F165"/>
    <mergeCell ref="F141:F144"/>
    <mergeCell ref="B160:B163"/>
    <mergeCell ref="A160:A163"/>
    <mergeCell ref="B145:B147"/>
    <mergeCell ref="C73:C74"/>
    <mergeCell ref="B141:B144"/>
    <mergeCell ref="A141:A144"/>
    <mergeCell ref="F184:F185"/>
    <mergeCell ref="B85:B87"/>
    <mergeCell ref="C85:C87"/>
    <mergeCell ref="F92:F101"/>
    <mergeCell ref="E107:E110"/>
    <mergeCell ref="A107:A110"/>
    <mergeCell ref="A156:A159"/>
    <mergeCell ref="C160:C163"/>
    <mergeCell ref="E137:E140"/>
    <mergeCell ref="F182:F183"/>
    <mergeCell ref="B75:B77"/>
    <mergeCell ref="A75:A77"/>
    <mergeCell ref="B78:B84"/>
    <mergeCell ref="A78:A84"/>
    <mergeCell ref="C116:C122"/>
    <mergeCell ref="B116:B122"/>
    <mergeCell ref="A116:A122"/>
    <mergeCell ref="D129:D136"/>
    <mergeCell ref="C129:C136"/>
    <mergeCell ref="B129:B136"/>
    <mergeCell ref="A129:A136"/>
    <mergeCell ref="B152:B155"/>
    <mergeCell ref="A191:A192"/>
    <mergeCell ref="A197:A198"/>
    <mergeCell ref="B197:B198"/>
    <mergeCell ref="B195:B196"/>
    <mergeCell ref="A182:A183"/>
    <mergeCell ref="B182:B183"/>
    <mergeCell ref="C182:C183"/>
    <mergeCell ref="A170:A171"/>
    <mergeCell ref="B168:B169"/>
    <mergeCell ref="E141:E144"/>
    <mergeCell ref="B178:B181"/>
    <mergeCell ref="A193:A194"/>
    <mergeCell ref="C141:C144"/>
    <mergeCell ref="C166:C167"/>
    <mergeCell ref="C164:C165"/>
    <mergeCell ref="A164:A165"/>
    <mergeCell ref="A137:A140"/>
    <mergeCell ref="A152:A155"/>
    <mergeCell ref="G287:G288"/>
    <mergeCell ref="D241:D242"/>
    <mergeCell ref="E239:E240"/>
    <mergeCell ref="C273:C274"/>
    <mergeCell ref="F205:F206"/>
    <mergeCell ref="E205:E206"/>
    <mergeCell ref="D219:D220"/>
    <mergeCell ref="E227:E228"/>
    <mergeCell ref="G225:G226"/>
    <mergeCell ref="G223:G224"/>
    <mergeCell ref="F223:F224"/>
    <mergeCell ref="E223:E224"/>
    <mergeCell ref="D233:D234"/>
    <mergeCell ref="E245:E246"/>
    <mergeCell ref="D245:D246"/>
    <mergeCell ref="C205:C206"/>
    <mergeCell ref="B203:B204"/>
    <mergeCell ref="G203:G204"/>
    <mergeCell ref="F203:F204"/>
    <mergeCell ref="G277:G278"/>
    <mergeCell ref="F209:F210"/>
    <mergeCell ref="G219:G220"/>
    <mergeCell ref="F219:F220"/>
    <mergeCell ref="E241:E242"/>
    <mergeCell ref="E235:E236"/>
    <mergeCell ref="D235:D236"/>
    <mergeCell ref="F213:F214"/>
    <mergeCell ref="E213:E214"/>
    <mergeCell ref="D213:D214"/>
    <mergeCell ref="F247:F248"/>
    <mergeCell ref="E229:E230"/>
    <mergeCell ref="E253:E254"/>
    <mergeCell ref="A203:A204"/>
    <mergeCell ref="A201:A202"/>
    <mergeCell ref="E156:E159"/>
    <mergeCell ref="B321:B322"/>
    <mergeCell ref="B477:B479"/>
    <mergeCell ref="B209:B210"/>
    <mergeCell ref="B207:B208"/>
    <mergeCell ref="B205:B206"/>
    <mergeCell ref="G508:G513"/>
    <mergeCell ref="F269:F270"/>
    <mergeCell ref="G265:G266"/>
    <mergeCell ref="F265:F266"/>
    <mergeCell ref="F267:F268"/>
    <mergeCell ref="G257:G258"/>
    <mergeCell ref="F257:F258"/>
    <mergeCell ref="F241:F242"/>
    <mergeCell ref="F251:F252"/>
    <mergeCell ref="G259:G260"/>
    <mergeCell ref="F259:F260"/>
    <mergeCell ref="G289:G290"/>
    <mergeCell ref="F289:F290"/>
    <mergeCell ref="E473:E476"/>
    <mergeCell ref="C207:C208"/>
    <mergeCell ref="E289:E290"/>
    <mergeCell ref="D287:D288"/>
    <mergeCell ref="D271:D272"/>
    <mergeCell ref="D269:D270"/>
    <mergeCell ref="C195:C196"/>
    <mergeCell ref="C193:C194"/>
    <mergeCell ref="B193:B194"/>
    <mergeCell ref="C508:C513"/>
    <mergeCell ref="E203:E204"/>
    <mergeCell ref="A223:A224"/>
    <mergeCell ref="C227:C228"/>
    <mergeCell ref="B227:B228"/>
    <mergeCell ref="B245:B246"/>
    <mergeCell ref="E243:E244"/>
    <mergeCell ref="D243:D244"/>
    <mergeCell ref="B223:B224"/>
    <mergeCell ref="A199:A200"/>
    <mergeCell ref="A237:A238"/>
    <mergeCell ref="C235:C236"/>
    <mergeCell ref="C237:C238"/>
    <mergeCell ref="C239:C240"/>
    <mergeCell ref="E287:E288"/>
    <mergeCell ref="E247:E248"/>
    <mergeCell ref="D305:D306"/>
    <mergeCell ref="C263:C264"/>
    <mergeCell ref="D199:D200"/>
    <mergeCell ref="A233:A234"/>
    <mergeCell ref="A207:A208"/>
    <mergeCell ref="A205:A206"/>
    <mergeCell ref="A209:A210"/>
    <mergeCell ref="A235:A236"/>
    <mergeCell ref="C243:C244"/>
    <mergeCell ref="B243:B244"/>
    <mergeCell ref="A245:A246"/>
    <mergeCell ref="E261:E262"/>
    <mergeCell ref="D227:D228"/>
    <mergeCell ref="E225:E226"/>
    <mergeCell ref="D203:D204"/>
    <mergeCell ref="B201:B202"/>
    <mergeCell ref="E209:E210"/>
    <mergeCell ref="D237:D238"/>
    <mergeCell ref="A538:A540"/>
    <mergeCell ref="E530:E531"/>
    <mergeCell ref="C570:C572"/>
    <mergeCell ref="B570:B572"/>
    <mergeCell ref="E605:E606"/>
    <mergeCell ref="C603:C604"/>
    <mergeCell ref="D603:D604"/>
    <mergeCell ref="B573:B578"/>
    <mergeCell ref="E579:E583"/>
    <mergeCell ref="F584:F585"/>
    <mergeCell ref="B588:B589"/>
    <mergeCell ref="E559:E565"/>
    <mergeCell ref="A590:A591"/>
    <mergeCell ref="B263:B264"/>
    <mergeCell ref="A263:A264"/>
    <mergeCell ref="A291:A292"/>
    <mergeCell ref="A249:A250"/>
    <mergeCell ref="A257:A258"/>
    <mergeCell ref="A265:A266"/>
    <mergeCell ref="A579:A583"/>
    <mergeCell ref="A586:A587"/>
    <mergeCell ref="D281:D282"/>
    <mergeCell ref="B471:B472"/>
    <mergeCell ref="F255:F256"/>
    <mergeCell ref="F586:F587"/>
    <mergeCell ref="E573:E578"/>
    <mergeCell ref="D573:D578"/>
    <mergeCell ref="D321:D322"/>
    <mergeCell ref="B508:B513"/>
    <mergeCell ref="A471:A472"/>
    <mergeCell ref="C487:E487"/>
    <mergeCell ref="A514:A517"/>
    <mergeCell ref="D247:D248"/>
    <mergeCell ref="G243:G244"/>
    <mergeCell ref="G229:G230"/>
    <mergeCell ref="G233:G234"/>
    <mergeCell ref="G267:G268"/>
    <mergeCell ref="E269:E270"/>
    <mergeCell ref="E267:E268"/>
    <mergeCell ref="E259:E260"/>
    <mergeCell ref="E251:E252"/>
    <mergeCell ref="E233:E234"/>
    <mergeCell ref="G269:G270"/>
    <mergeCell ref="G245:G246"/>
    <mergeCell ref="F229:F230"/>
    <mergeCell ref="F233:F234"/>
    <mergeCell ref="G251:G252"/>
    <mergeCell ref="G253:G254"/>
    <mergeCell ref="F221:F222"/>
    <mergeCell ref="E221:E222"/>
    <mergeCell ref="F261:F262"/>
    <mergeCell ref="B611:B612"/>
    <mergeCell ref="C611:C612"/>
    <mergeCell ref="G611:G612"/>
    <mergeCell ref="D559:D565"/>
    <mergeCell ref="C559:C565"/>
    <mergeCell ref="F579:F583"/>
    <mergeCell ref="F559:F565"/>
    <mergeCell ref="B605:B606"/>
    <mergeCell ref="D611:D612"/>
    <mergeCell ref="B592:B593"/>
    <mergeCell ref="C566:C569"/>
    <mergeCell ref="B566:B569"/>
    <mergeCell ref="A611:A612"/>
    <mergeCell ref="A592:A593"/>
    <mergeCell ref="C541:C547"/>
    <mergeCell ref="B541:B547"/>
    <mergeCell ref="A541:A547"/>
    <mergeCell ref="E590:E591"/>
    <mergeCell ref="A588:A589"/>
    <mergeCell ref="D596:D597"/>
    <mergeCell ref="D586:D587"/>
    <mergeCell ref="G541:G547"/>
    <mergeCell ref="G609:G610"/>
    <mergeCell ref="B596:B597"/>
    <mergeCell ref="C592:C593"/>
    <mergeCell ref="C590:C591"/>
    <mergeCell ref="A603:A604"/>
    <mergeCell ref="F603:F604"/>
    <mergeCell ref="G603:G604"/>
    <mergeCell ref="A605:A606"/>
    <mergeCell ref="E592:E593"/>
    <mergeCell ref="F592:F593"/>
    <mergeCell ref="A908:A909"/>
    <mergeCell ref="D885:D887"/>
    <mergeCell ref="E885:E887"/>
    <mergeCell ref="F885:F887"/>
    <mergeCell ref="A981:A982"/>
    <mergeCell ref="A978:A979"/>
    <mergeCell ref="A876:A877"/>
    <mergeCell ref="C799:C800"/>
    <mergeCell ref="F609:F610"/>
    <mergeCell ref="E609:E610"/>
    <mergeCell ref="C876:C878"/>
    <mergeCell ref="G615:G618"/>
    <mergeCell ref="F615:F618"/>
    <mergeCell ref="B609:B610"/>
    <mergeCell ref="B955:B957"/>
    <mergeCell ref="B952:B954"/>
    <mergeCell ref="C955:C957"/>
    <mergeCell ref="A853:A855"/>
    <mergeCell ref="G797:G798"/>
    <mergeCell ref="A849:A852"/>
    <mergeCell ref="D823:D824"/>
    <mergeCell ref="E823:E824"/>
    <mergeCell ref="F823:F824"/>
    <mergeCell ref="F827:F828"/>
    <mergeCell ref="B825:B826"/>
    <mergeCell ref="C825:C826"/>
    <mergeCell ref="D825:D826"/>
    <mergeCell ref="D849:D852"/>
    <mergeCell ref="A900:A901"/>
    <mergeCell ref="A613:A614"/>
    <mergeCell ref="B835:B836"/>
    <mergeCell ref="B833:B834"/>
    <mergeCell ref="F613:F614"/>
    <mergeCell ref="G613:G614"/>
    <mergeCell ref="D990:D992"/>
    <mergeCell ref="B613:B614"/>
    <mergeCell ref="C613:C614"/>
    <mergeCell ref="D613:D614"/>
    <mergeCell ref="E978:E980"/>
    <mergeCell ref="F978:F980"/>
    <mergeCell ref="G978:G980"/>
    <mergeCell ref="B958:B960"/>
    <mergeCell ref="C958:C960"/>
    <mergeCell ref="C943:C945"/>
    <mergeCell ref="C931:C933"/>
    <mergeCell ref="D931:D933"/>
    <mergeCell ref="E931:E933"/>
    <mergeCell ref="F931:F933"/>
    <mergeCell ref="G931:G933"/>
    <mergeCell ref="D916:D918"/>
    <mergeCell ref="B815:B816"/>
    <mergeCell ref="B811:B812"/>
    <mergeCell ref="E919:E921"/>
    <mergeCell ref="C853:C855"/>
    <mergeCell ref="D853:D855"/>
    <mergeCell ref="B859:B860"/>
    <mergeCell ref="C961:C963"/>
    <mergeCell ref="F925:F927"/>
    <mergeCell ref="E925:E927"/>
    <mergeCell ref="G925:G927"/>
    <mergeCell ref="C922:C924"/>
    <mergeCell ref="D919:D921"/>
    <mergeCell ref="C911:C912"/>
    <mergeCell ref="D911:D912"/>
    <mergeCell ref="B821:B822"/>
    <mergeCell ref="E803:E804"/>
    <mergeCell ref="E811:E812"/>
    <mergeCell ref="D809:D810"/>
    <mergeCell ref="E809:E810"/>
    <mergeCell ref="C811:C812"/>
    <mergeCell ref="D811:D812"/>
    <mergeCell ref="G807:G808"/>
    <mergeCell ref="F809:F810"/>
    <mergeCell ref="A803:A804"/>
    <mergeCell ref="E611:E612"/>
    <mergeCell ref="F611:F612"/>
    <mergeCell ref="D615:D618"/>
    <mergeCell ref="B829:B830"/>
    <mergeCell ref="C829:C830"/>
    <mergeCell ref="D829:D830"/>
    <mergeCell ref="E829:E830"/>
    <mergeCell ref="F829:F830"/>
    <mergeCell ref="G829:G830"/>
    <mergeCell ref="C623:C624"/>
    <mergeCell ref="D623:D624"/>
    <mergeCell ref="C805:C806"/>
    <mergeCell ref="B809:B810"/>
    <mergeCell ref="B797:B798"/>
    <mergeCell ref="A623:A624"/>
    <mergeCell ref="A809:A810"/>
    <mergeCell ref="E797:E798"/>
    <mergeCell ref="E613:E614"/>
    <mergeCell ref="B803:B804"/>
    <mergeCell ref="B623:B624"/>
    <mergeCell ref="E623:E624"/>
    <mergeCell ref="F623:F624"/>
    <mergeCell ref="B853:B855"/>
    <mergeCell ref="B879:B881"/>
    <mergeCell ref="B873:B875"/>
    <mergeCell ref="E831:E832"/>
    <mergeCell ref="A846:A848"/>
    <mergeCell ref="D859:D860"/>
    <mergeCell ref="G849:G852"/>
    <mergeCell ref="F849:F852"/>
    <mergeCell ref="D846:D848"/>
    <mergeCell ref="A829:A830"/>
    <mergeCell ref="C849:C852"/>
    <mergeCell ref="C856:C858"/>
    <mergeCell ref="E835:E836"/>
    <mergeCell ref="E833:E834"/>
    <mergeCell ref="E861:E863"/>
    <mergeCell ref="E859:E860"/>
    <mergeCell ref="F835:F836"/>
    <mergeCell ref="F833:F834"/>
    <mergeCell ref="F846:F848"/>
    <mergeCell ref="F859:F860"/>
    <mergeCell ref="G873:G875"/>
    <mergeCell ref="G870:G872"/>
    <mergeCell ref="D870:D872"/>
    <mergeCell ref="E879:E881"/>
    <mergeCell ref="D879:D881"/>
    <mergeCell ref="D835:D836"/>
    <mergeCell ref="D833:D834"/>
    <mergeCell ref="G987:G989"/>
    <mergeCell ref="B984:B986"/>
    <mergeCell ref="C984:C986"/>
    <mergeCell ref="C952:C954"/>
    <mergeCell ref="B946:B948"/>
    <mergeCell ref="B949:B951"/>
    <mergeCell ref="G605:G606"/>
    <mergeCell ref="G623:G624"/>
    <mergeCell ref="C615:C618"/>
    <mergeCell ref="G795:G796"/>
    <mergeCell ref="A619:A622"/>
    <mergeCell ref="A615:A618"/>
    <mergeCell ref="F801:F802"/>
    <mergeCell ref="G801:G802"/>
    <mergeCell ref="E795:E796"/>
    <mergeCell ref="F795:F796"/>
    <mergeCell ref="B615:B618"/>
    <mergeCell ref="A861:A862"/>
    <mergeCell ref="B870:B872"/>
    <mergeCell ref="C870:C872"/>
    <mergeCell ref="A878:A881"/>
    <mergeCell ref="A801:A802"/>
    <mergeCell ref="B861:B863"/>
    <mergeCell ref="B849:B852"/>
    <mergeCell ref="C888:C890"/>
    <mergeCell ref="C879:C881"/>
    <mergeCell ref="A821:A822"/>
    <mergeCell ref="E607:E608"/>
    <mergeCell ref="G791:G792"/>
    <mergeCell ref="E791:E792"/>
    <mergeCell ref="F791:F792"/>
    <mergeCell ref="D831:D832"/>
    <mergeCell ref="F990:F992"/>
    <mergeCell ref="G990:G992"/>
    <mergeCell ref="B987:B989"/>
    <mergeCell ref="C987:C989"/>
    <mergeCell ref="D987:D989"/>
    <mergeCell ref="E987:E989"/>
    <mergeCell ref="E867:E869"/>
    <mergeCell ref="G934:G936"/>
    <mergeCell ref="G919:G921"/>
    <mergeCell ref="A873:A874"/>
    <mergeCell ref="F864:F866"/>
    <mergeCell ref="A864:A865"/>
    <mergeCell ref="A984:A985"/>
    <mergeCell ref="A870:A871"/>
    <mergeCell ref="A867:A868"/>
    <mergeCell ref="C946:C948"/>
    <mergeCell ref="F922:F924"/>
    <mergeCell ref="B922:B924"/>
    <mergeCell ref="C949:C951"/>
    <mergeCell ref="A906:A907"/>
    <mergeCell ref="A897:A898"/>
    <mergeCell ref="B891:B893"/>
    <mergeCell ref="B888:B890"/>
    <mergeCell ref="C891:C893"/>
    <mergeCell ref="D891:D893"/>
    <mergeCell ref="E891:E893"/>
    <mergeCell ref="F891:F893"/>
    <mergeCell ref="C885:C887"/>
    <mergeCell ref="B990:B992"/>
    <mergeCell ref="B885:B887"/>
    <mergeCell ref="F919:F921"/>
    <mergeCell ref="F987:F989"/>
    <mergeCell ref="A797:A798"/>
    <mergeCell ref="D821:D822"/>
    <mergeCell ref="E821:E822"/>
    <mergeCell ref="F821:F822"/>
    <mergeCell ref="G821:G822"/>
    <mergeCell ref="B827:B828"/>
    <mergeCell ref="B607:B608"/>
    <mergeCell ref="D807:D808"/>
    <mergeCell ref="F807:F808"/>
    <mergeCell ref="A799:A800"/>
    <mergeCell ref="A807:A808"/>
    <mergeCell ref="H607:H608"/>
    <mergeCell ref="D607:D608"/>
    <mergeCell ref="H594:H595"/>
    <mergeCell ref="H611:H612"/>
    <mergeCell ref="I611:I612"/>
    <mergeCell ref="H619:H620"/>
    <mergeCell ref="A827:A828"/>
    <mergeCell ref="A817:A818"/>
    <mergeCell ref="E615:E618"/>
    <mergeCell ref="E807:E808"/>
    <mergeCell ref="G619:G622"/>
    <mergeCell ref="D594:D595"/>
    <mergeCell ref="F596:F597"/>
    <mergeCell ref="B807:B808"/>
    <mergeCell ref="C807:C808"/>
    <mergeCell ref="F619:F622"/>
    <mergeCell ref="A825:A826"/>
    <mergeCell ref="A823:A824"/>
    <mergeCell ref="B823:B824"/>
    <mergeCell ref="C823:C824"/>
    <mergeCell ref="B819:B820"/>
    <mergeCell ref="F590:F591"/>
    <mergeCell ref="A609:A610"/>
    <mergeCell ref="D609:D610"/>
    <mergeCell ref="C609:C610"/>
    <mergeCell ref="D588:D589"/>
    <mergeCell ref="E594:E595"/>
    <mergeCell ref="F594:F595"/>
    <mergeCell ref="G588:G589"/>
    <mergeCell ref="F588:F589"/>
    <mergeCell ref="F605:F606"/>
    <mergeCell ref="C605:C606"/>
    <mergeCell ref="G607:G608"/>
    <mergeCell ref="A607:A608"/>
    <mergeCell ref="B603:B604"/>
    <mergeCell ref="G594:G595"/>
    <mergeCell ref="C588:C589"/>
    <mergeCell ref="G596:G597"/>
    <mergeCell ref="C596:C597"/>
    <mergeCell ref="A594:A595"/>
    <mergeCell ref="B594:B595"/>
    <mergeCell ref="G590:G591"/>
    <mergeCell ref="D592:D593"/>
    <mergeCell ref="C607:C608"/>
    <mergeCell ref="F607:F608"/>
    <mergeCell ref="E603:E604"/>
    <mergeCell ref="B241:B242"/>
    <mergeCell ref="D223:D224"/>
    <mergeCell ref="C231:C232"/>
    <mergeCell ref="C217:C218"/>
    <mergeCell ref="B229:B230"/>
    <mergeCell ref="E237:E238"/>
    <mergeCell ref="D225:D226"/>
    <mergeCell ref="B219:B220"/>
    <mergeCell ref="C219:C220"/>
    <mergeCell ref="D229:D230"/>
    <mergeCell ref="E219:E220"/>
    <mergeCell ref="B239:B240"/>
    <mergeCell ref="D239:D240"/>
    <mergeCell ref="C225:C226"/>
    <mergeCell ref="B225:B226"/>
    <mergeCell ref="H598:H599"/>
    <mergeCell ref="C594:C595"/>
    <mergeCell ref="B586:B587"/>
    <mergeCell ref="B590:B591"/>
    <mergeCell ref="D590:D591"/>
    <mergeCell ref="C522:C523"/>
    <mergeCell ref="B559:B565"/>
    <mergeCell ref="G249:G250"/>
    <mergeCell ref="G237:G238"/>
    <mergeCell ref="E279:E280"/>
    <mergeCell ref="C233:C234"/>
    <mergeCell ref="F538:F540"/>
    <mergeCell ref="B530:B531"/>
    <mergeCell ref="C532:C535"/>
    <mergeCell ref="E532:E535"/>
    <mergeCell ref="B233:B234"/>
    <mergeCell ref="F566:F569"/>
    <mergeCell ref="B215:B216"/>
    <mergeCell ref="B213:B214"/>
    <mergeCell ref="C213:C214"/>
    <mergeCell ref="D217:D218"/>
    <mergeCell ref="C241:C242"/>
    <mergeCell ref="B287:B288"/>
    <mergeCell ref="B285:B286"/>
    <mergeCell ref="E283:E284"/>
    <mergeCell ref="D283:D284"/>
    <mergeCell ref="B277:B278"/>
    <mergeCell ref="C573:C578"/>
    <mergeCell ref="B579:B583"/>
    <mergeCell ref="C586:C587"/>
    <mergeCell ref="D579:D583"/>
    <mergeCell ref="B524:B529"/>
    <mergeCell ref="B257:B258"/>
    <mergeCell ref="B441:B448"/>
    <mergeCell ref="E271:E272"/>
    <mergeCell ref="E301:E302"/>
    <mergeCell ref="B249:B250"/>
    <mergeCell ref="E249:E250"/>
    <mergeCell ref="D249:D250"/>
    <mergeCell ref="C253:C254"/>
    <mergeCell ref="C251:C252"/>
    <mergeCell ref="D538:D540"/>
    <mergeCell ref="E538:E540"/>
    <mergeCell ref="C223:C224"/>
    <mergeCell ref="B217:B218"/>
    <mergeCell ref="D221:D222"/>
    <mergeCell ref="C221:C222"/>
    <mergeCell ref="B221:B222"/>
    <mergeCell ref="C229:C230"/>
    <mergeCell ref="A219:A220"/>
    <mergeCell ref="A508:A513"/>
    <mergeCell ref="A441:A448"/>
    <mergeCell ref="A301:A302"/>
    <mergeCell ref="A279:A280"/>
    <mergeCell ref="A277:A278"/>
    <mergeCell ref="A289:A290"/>
    <mergeCell ref="C463:E463"/>
    <mergeCell ref="C477:C479"/>
    <mergeCell ref="E275:E276"/>
    <mergeCell ref="A227:A228"/>
    <mergeCell ref="A225:A226"/>
    <mergeCell ref="E321:E322"/>
    <mergeCell ref="A281:A282"/>
    <mergeCell ref="A255:A256"/>
    <mergeCell ref="C259:C260"/>
    <mergeCell ref="C257:C258"/>
    <mergeCell ref="C255:C256"/>
    <mergeCell ref="E257:E258"/>
    <mergeCell ref="D257:D258"/>
    <mergeCell ref="D259:D260"/>
    <mergeCell ref="E255:E256"/>
    <mergeCell ref="B253:B254"/>
    <mergeCell ref="B275:B276"/>
    <mergeCell ref="A261:A262"/>
    <mergeCell ref="B259:B260"/>
    <mergeCell ref="D277:D278"/>
    <mergeCell ref="C305:C306"/>
    <mergeCell ref="A305:A306"/>
    <mergeCell ref="A253:A254"/>
    <mergeCell ref="B251:B252"/>
    <mergeCell ref="A251:A252"/>
    <mergeCell ref="A231:A232"/>
    <mergeCell ref="D231:D232"/>
    <mergeCell ref="C283:C284"/>
    <mergeCell ref="B265:B266"/>
    <mergeCell ref="C267:C268"/>
    <mergeCell ref="C269:C270"/>
    <mergeCell ref="A271:A272"/>
    <mergeCell ref="B269:B270"/>
    <mergeCell ref="A269:A270"/>
    <mergeCell ref="B267:B268"/>
    <mergeCell ref="C265:C266"/>
    <mergeCell ref="A239:A240"/>
    <mergeCell ref="B247:B248"/>
    <mergeCell ref="D251:D252"/>
    <mergeCell ref="F253:F254"/>
    <mergeCell ref="D261:D262"/>
    <mergeCell ref="A273:A274"/>
    <mergeCell ref="B261:B262"/>
    <mergeCell ref="A275:A276"/>
    <mergeCell ref="B255:B256"/>
    <mergeCell ref="B279:B280"/>
    <mergeCell ref="C281:C282"/>
    <mergeCell ref="D267:D268"/>
    <mergeCell ref="B283:B284"/>
    <mergeCell ref="F249:F250"/>
    <mergeCell ref="A267:A268"/>
    <mergeCell ref="F245:F246"/>
    <mergeCell ref="C249:C250"/>
    <mergeCell ref="C247:C248"/>
    <mergeCell ref="A259:A260"/>
    <mergeCell ref="F243:F244"/>
    <mergeCell ref="D253:D254"/>
    <mergeCell ref="A229:A230"/>
    <mergeCell ref="B235:B236"/>
    <mergeCell ref="B271:B272"/>
    <mergeCell ref="D275:D276"/>
    <mergeCell ref="F271:F272"/>
    <mergeCell ref="F273:F274"/>
    <mergeCell ref="B281:B282"/>
    <mergeCell ref="F283:F284"/>
    <mergeCell ref="A1350:A1351"/>
    <mergeCell ref="A1312:A1313"/>
    <mergeCell ref="B846:B848"/>
    <mergeCell ref="A856:A857"/>
    <mergeCell ref="A1216:A1217"/>
    <mergeCell ref="E1350:E1352"/>
    <mergeCell ref="B1347:B1349"/>
    <mergeCell ref="A1231:A1232"/>
    <mergeCell ref="A1123:A1124"/>
    <mergeCell ref="A1233:A1234"/>
    <mergeCell ref="A1235:A1236"/>
    <mergeCell ref="A1210:A1211"/>
    <mergeCell ref="A1207:A1208"/>
    <mergeCell ref="A1027:A1028"/>
    <mergeCell ref="A1024:A1025"/>
    <mergeCell ref="A987:A988"/>
    <mergeCell ref="B1285:B1286"/>
    <mergeCell ref="D1329:D1331"/>
    <mergeCell ref="A1261:A1262"/>
    <mergeCell ref="C1285:C1286"/>
    <mergeCell ref="A1249:A1250"/>
    <mergeCell ref="A1247:A1248"/>
    <mergeCell ref="A1245:A1246"/>
    <mergeCell ref="E1173:E1175"/>
    <mergeCell ref="A911:A912"/>
    <mergeCell ref="A859:A860"/>
    <mergeCell ref="A1002:A1003"/>
    <mergeCell ref="A999:A1000"/>
    <mergeCell ref="C859:C860"/>
    <mergeCell ref="C864:C866"/>
    <mergeCell ref="C861:C863"/>
    <mergeCell ref="A1289:A1290"/>
    <mergeCell ref="A1287:A1288"/>
    <mergeCell ref="F1356:F1358"/>
    <mergeCell ref="A1371:A1372"/>
    <mergeCell ref="A1368:A1369"/>
    <mergeCell ref="A1281:A1282"/>
    <mergeCell ref="E1365:E1367"/>
    <mergeCell ref="E1104:E1106"/>
    <mergeCell ref="G1104:G1106"/>
    <mergeCell ref="G1226:G1227"/>
    <mergeCell ref="F1024:F1026"/>
    <mergeCell ref="G1024:G1026"/>
    <mergeCell ref="G1140:G1142"/>
    <mergeCell ref="B1128:B1130"/>
    <mergeCell ref="B1279:B1280"/>
    <mergeCell ref="C1279:C1280"/>
    <mergeCell ref="E1271:E1272"/>
    <mergeCell ref="A1277:A1278"/>
    <mergeCell ref="A1275:A1276"/>
    <mergeCell ref="A1273:A1274"/>
    <mergeCell ref="A1128:A1129"/>
    <mergeCell ref="A1259:A1260"/>
    <mergeCell ref="A1257:A1258"/>
    <mergeCell ref="A1255:A1256"/>
    <mergeCell ref="E990:E992"/>
    <mergeCell ref="F1051:F1053"/>
    <mergeCell ref="G1051:G1053"/>
    <mergeCell ref="A1214:A1215"/>
    <mergeCell ref="I1649:I1651"/>
    <mergeCell ref="J1649:J1651"/>
    <mergeCell ref="M1649:M1651"/>
    <mergeCell ref="A1075:A1076"/>
    <mergeCell ref="A1087:A1088"/>
    <mergeCell ref="A1081:A1082"/>
    <mergeCell ref="G1081:G1083"/>
    <mergeCell ref="B1087:B1089"/>
    <mergeCell ref="A1649:A1651"/>
    <mergeCell ref="B1649:B1651"/>
    <mergeCell ref="C1649:C1651"/>
    <mergeCell ref="D1649:D1651"/>
    <mergeCell ref="E1649:E1651"/>
    <mergeCell ref="F1649:F1651"/>
    <mergeCell ref="G1649:G1651"/>
    <mergeCell ref="H1649:H1651"/>
    <mergeCell ref="D1279:D1280"/>
    <mergeCell ref="A1499:C1499"/>
    <mergeCell ref="M1493:M1494"/>
    <mergeCell ref="A1536:C1536"/>
    <mergeCell ref="B1359:B1361"/>
    <mergeCell ref="B1365:B1367"/>
    <mergeCell ref="C1365:C1367"/>
    <mergeCell ref="D1365:D1367"/>
    <mergeCell ref="A1279:A1280"/>
    <mergeCell ref="A1404:A1406"/>
    <mergeCell ref="A1648:G1648"/>
    <mergeCell ref="M1434:M1435"/>
    <mergeCell ref="A1269:A1270"/>
    <mergeCell ref="AR22:AR24"/>
    <mergeCell ref="AR586:AR587"/>
    <mergeCell ref="AR26:AR27"/>
    <mergeCell ref="AR30:AR31"/>
    <mergeCell ref="AR35:AR37"/>
    <mergeCell ref="AR38:AR40"/>
    <mergeCell ref="AR41:AR42"/>
    <mergeCell ref="AR43:AR44"/>
    <mergeCell ref="AR51:AR52"/>
    <mergeCell ref="AR53:AR55"/>
    <mergeCell ref="AR56:AR57"/>
    <mergeCell ref="AR58:AR59"/>
    <mergeCell ref="AR60:AR61"/>
    <mergeCell ref="AR62:AR63"/>
    <mergeCell ref="AR64:AR66"/>
    <mergeCell ref="AR129:AR130"/>
    <mergeCell ref="B1368:B1370"/>
    <mergeCell ref="F570:F572"/>
    <mergeCell ref="E570:E572"/>
    <mergeCell ref="C579:C583"/>
    <mergeCell ref="D570:D572"/>
    <mergeCell ref="H605:H606"/>
    <mergeCell ref="I605:I606"/>
    <mergeCell ref="K594:K595"/>
    <mergeCell ref="I592:I593"/>
    <mergeCell ref="L592:L593"/>
    <mergeCell ref="K592:K593"/>
    <mergeCell ref="E588:E589"/>
    <mergeCell ref="E586:E587"/>
    <mergeCell ref="AR526:AR527"/>
    <mergeCell ref="AO607:AO608"/>
    <mergeCell ref="I573:I574"/>
    <mergeCell ref="A1356:A1357"/>
    <mergeCell ref="A1365:A1366"/>
    <mergeCell ref="A1362:A1363"/>
    <mergeCell ref="A1359:A1360"/>
    <mergeCell ref="A888:A889"/>
    <mergeCell ref="A884:A887"/>
    <mergeCell ref="B882:B884"/>
    <mergeCell ref="C287:C288"/>
    <mergeCell ref="A1185:A1186"/>
    <mergeCell ref="A1183:A1184"/>
    <mergeCell ref="G1353:G1355"/>
    <mergeCell ref="E394:E395"/>
    <mergeCell ref="AH1007:AH1008"/>
    <mergeCell ref="AK1007:AK1008"/>
    <mergeCell ref="N579:N583"/>
    <mergeCell ref="O570:O572"/>
    <mergeCell ref="N573:N578"/>
    <mergeCell ref="D584:D585"/>
    <mergeCell ref="E584:E585"/>
    <mergeCell ref="B584:B585"/>
    <mergeCell ref="C584:C585"/>
    <mergeCell ref="D566:D569"/>
    <mergeCell ref="G586:G587"/>
    <mergeCell ref="H596:H597"/>
    <mergeCell ref="I603:I604"/>
    <mergeCell ref="J603:J604"/>
    <mergeCell ref="J611:J612"/>
    <mergeCell ref="D605:D606"/>
    <mergeCell ref="E596:E597"/>
    <mergeCell ref="I594:I595"/>
    <mergeCell ref="H592:H593"/>
    <mergeCell ref="G570:G572"/>
    <mergeCell ref="I559:I560"/>
    <mergeCell ref="T586:T587"/>
    <mergeCell ref="T594:T595"/>
    <mergeCell ref="T588:T589"/>
    <mergeCell ref="I596:I597"/>
    <mergeCell ref="J596:J597"/>
    <mergeCell ref="J594:J595"/>
    <mergeCell ref="U586:U587"/>
    <mergeCell ref="U594:U595"/>
    <mergeCell ref="U592:U593"/>
    <mergeCell ref="J615:J616"/>
    <mergeCell ref="AB864:AB865"/>
    <mergeCell ref="Z864:Z866"/>
    <mergeCell ref="I607:I608"/>
    <mergeCell ref="J607:J608"/>
    <mergeCell ref="T590:T591"/>
    <mergeCell ref="T596:T597"/>
    <mergeCell ref="J592:J593"/>
    <mergeCell ref="J598:J599"/>
    <mergeCell ref="L594:L595"/>
    <mergeCell ref="K598:K599"/>
    <mergeCell ref="L605:L606"/>
    <mergeCell ref="L603:L604"/>
    <mergeCell ref="K611:K612"/>
    <mergeCell ref="I615:I616"/>
    <mergeCell ref="L611:L612"/>
    <mergeCell ref="K607:K608"/>
    <mergeCell ref="Z607:Z608"/>
    <mergeCell ref="AA609:AA610"/>
    <mergeCell ref="P573:P574"/>
    <mergeCell ref="V596:V597"/>
    <mergeCell ref="U566:U569"/>
    <mergeCell ref="AR67:AR68"/>
    <mergeCell ref="AR69:AR70"/>
    <mergeCell ref="AR201:AR202"/>
    <mergeCell ref="AR465:AR466"/>
    <mergeCell ref="AR166:AR167"/>
    <mergeCell ref="AR237:AR238"/>
    <mergeCell ref="AR71:AR72"/>
    <mergeCell ref="AK873:AK875"/>
    <mergeCell ref="AK958:AK960"/>
    <mergeCell ref="AL1027:AL1029"/>
    <mergeCell ref="AM1027:AM1029"/>
    <mergeCell ref="AN1027:AN1028"/>
    <mergeCell ref="AQ1027:AQ1029"/>
    <mergeCell ref="AN1018:AN1019"/>
    <mergeCell ref="AQ1018:AQ1020"/>
    <mergeCell ref="AN1021:AN1022"/>
    <mergeCell ref="AN801:AN802"/>
    <mergeCell ref="AQ801:AQ802"/>
    <mergeCell ref="AN807:AN808"/>
    <mergeCell ref="AQ807:AQ808"/>
    <mergeCell ref="AQ799:AQ800"/>
    <mergeCell ref="AQ592:AQ593"/>
    <mergeCell ref="AP623:AP624"/>
    <mergeCell ref="AR615:AR616"/>
    <mergeCell ref="AQ605:AQ606"/>
    <mergeCell ref="AO579:AO580"/>
    <mergeCell ref="AN596:AN597"/>
    <mergeCell ref="AQ611:AQ612"/>
    <mergeCell ref="AM1012:AM1014"/>
    <mergeCell ref="AL1018:AL1020"/>
    <mergeCell ref="AM1018:AM1020"/>
    <mergeCell ref="AQ999:AQ1001"/>
    <mergeCell ref="AR263:AR264"/>
    <mergeCell ref="AN536:AN537"/>
    <mergeCell ref="AL1024:AL1026"/>
    <mergeCell ref="AR170:AR171"/>
    <mergeCell ref="AR73:AR74"/>
    <mergeCell ref="AR75:AR76"/>
    <mergeCell ref="AR197:AR198"/>
    <mergeCell ref="AQ1181:AQ1182"/>
    <mergeCell ref="AL1179:AL1180"/>
    <mergeCell ref="AR199:AR200"/>
    <mergeCell ref="AM799:AM800"/>
    <mergeCell ref="AN799:AN800"/>
    <mergeCell ref="AP573:AP574"/>
    <mergeCell ref="AQ573:AQ574"/>
    <mergeCell ref="AH1159:AH1160"/>
    <mergeCell ref="AL1054:AL1055"/>
    <mergeCell ref="AM594:AM595"/>
    <mergeCell ref="AN579:AN580"/>
    <mergeCell ref="AP592:AP593"/>
    <mergeCell ref="AP579:AP580"/>
    <mergeCell ref="AL1030:AL1032"/>
    <mergeCell ref="AQ1024:AQ1026"/>
    <mergeCell ref="AO538:AO539"/>
    <mergeCell ref="AR189:AR190"/>
    <mergeCell ref="AR191:AR192"/>
    <mergeCell ref="AN619:AN620"/>
    <mergeCell ref="AO619:AO620"/>
    <mergeCell ref="AP615:AP616"/>
    <mergeCell ref="AP611:AP612"/>
    <mergeCell ref="AN611:AN612"/>
    <mergeCell ref="AO611:AO612"/>
    <mergeCell ref="AL813:AL814"/>
    <mergeCell ref="AH1066:AH1067"/>
    <mergeCell ref="AK1066:AK1067"/>
    <mergeCell ref="AK1143:AK1144"/>
    <mergeCell ref="AN1036:AN1037"/>
    <mergeCell ref="AM1188:AM1190"/>
    <mergeCell ref="AL1045:AL1047"/>
    <mergeCell ref="AM1045:AM1047"/>
    <mergeCell ref="AN1045:AN1046"/>
    <mergeCell ref="AQ1036:AQ1038"/>
    <mergeCell ref="AQ1039:AQ1041"/>
    <mergeCell ref="AQ1179:AQ1180"/>
    <mergeCell ref="AN1183:AN1184"/>
    <mergeCell ref="AQ1183:AQ1184"/>
    <mergeCell ref="AQ1194:AQ1196"/>
    <mergeCell ref="AH1068:AH1069"/>
    <mergeCell ref="AQ1188:AQ1190"/>
    <mergeCell ref="AL541:AL542"/>
    <mergeCell ref="AN1188:AN1189"/>
    <mergeCell ref="AN1179:AN1180"/>
    <mergeCell ref="AN1185:AN1186"/>
    <mergeCell ref="AM1185:AM1187"/>
    <mergeCell ref="AL1188:AL1190"/>
    <mergeCell ref="AN1181:AN1182"/>
    <mergeCell ref="AQ1059:AQ1061"/>
    <mergeCell ref="AQ981:AQ983"/>
    <mergeCell ref="AH943:AH944"/>
    <mergeCell ref="AK943:AK945"/>
    <mergeCell ref="AH937:AH938"/>
    <mergeCell ref="AK937:AK939"/>
    <mergeCell ref="AH873:AH874"/>
    <mergeCell ref="AK867:AK869"/>
    <mergeCell ref="AH809:AH810"/>
    <mergeCell ref="AQ1012:AQ1014"/>
    <mergeCell ref="AQ1002:AQ1004"/>
    <mergeCell ref="AQ1009:AQ1011"/>
    <mergeCell ref="AR619:AR620"/>
    <mergeCell ref="AQ1371:AQ1373"/>
    <mergeCell ref="AN1224:AN1225"/>
    <mergeCell ref="AQ541:AQ542"/>
    <mergeCell ref="AN1030:AN1031"/>
    <mergeCell ref="AK1068:AK1069"/>
    <mergeCell ref="AM1024:AM1026"/>
    <mergeCell ref="AQ1207:AQ1209"/>
    <mergeCell ref="AQ1200:AQ1201"/>
    <mergeCell ref="AM1036:AM1038"/>
    <mergeCell ref="AM1202:AM1204"/>
    <mergeCell ref="AN1202:AN1203"/>
    <mergeCell ref="AQ1202:AQ1204"/>
    <mergeCell ref="AQ1191:AQ1193"/>
    <mergeCell ref="AK1165:AK1166"/>
    <mergeCell ref="AQ1045:AQ1047"/>
    <mergeCell ref="AM1033:AM1035"/>
    <mergeCell ref="AN1033:AN1034"/>
    <mergeCell ref="AK1140:AK1142"/>
    <mergeCell ref="AK1173:AK1175"/>
    <mergeCell ref="AK1145:AK1147"/>
    <mergeCell ref="AQ1214:AQ1215"/>
    <mergeCell ref="AQ1218:AQ1219"/>
    <mergeCell ref="AK809:AK810"/>
    <mergeCell ref="AQ623:AQ624"/>
    <mergeCell ref="AR609:AR610"/>
    <mergeCell ref="AM611:AM612"/>
    <mergeCell ref="AK611:AK612"/>
    <mergeCell ref="AK1261:AK1262"/>
    <mergeCell ref="AR603:AR604"/>
    <mergeCell ref="AI596:AI597"/>
    <mergeCell ref="AQ607:AQ608"/>
    <mergeCell ref="AL596:AL597"/>
    <mergeCell ref="AH541:AH542"/>
    <mergeCell ref="AI536:AI537"/>
    <mergeCell ref="AR227:AR228"/>
    <mergeCell ref="AR229:AR230"/>
    <mergeCell ref="AH1070:AH1071"/>
    <mergeCell ref="AQ1185:AQ1187"/>
    <mergeCell ref="AQ1374:AQ1376"/>
    <mergeCell ref="AQ1350:AQ1352"/>
    <mergeCell ref="AQ1356:AQ1358"/>
    <mergeCell ref="AO536:AO537"/>
    <mergeCell ref="AR182:AR183"/>
    <mergeCell ref="AN1359:AN1360"/>
    <mergeCell ref="AM1359:AM1361"/>
    <mergeCell ref="AN1212:AN1213"/>
    <mergeCell ref="AN1222:AN1223"/>
    <mergeCell ref="AQ1359:AQ1361"/>
    <mergeCell ref="AQ1353:AQ1355"/>
    <mergeCell ref="AR205:AR206"/>
    <mergeCell ref="AN1297:AN1298"/>
    <mergeCell ref="AN1285:AN1286"/>
    <mergeCell ref="AN1287:AN1288"/>
    <mergeCell ref="AQ1285:AQ1286"/>
    <mergeCell ref="AQ1226:AQ1227"/>
    <mergeCell ref="AQ1224:AQ1225"/>
    <mergeCell ref="AM1054:AM1055"/>
    <mergeCell ref="AN1054:AN1055"/>
    <mergeCell ref="AQ1042:AQ1044"/>
    <mergeCell ref="AN1012:AN1013"/>
    <mergeCell ref="AL592:AL593"/>
    <mergeCell ref="AL603:AL604"/>
    <mergeCell ref="AL598:AL599"/>
    <mergeCell ref="AQ603:AQ604"/>
    <mergeCell ref="AJ579:AJ580"/>
    <mergeCell ref="AI579:AI580"/>
    <mergeCell ref="AG573:AG574"/>
    <mergeCell ref="AM538:AM539"/>
    <mergeCell ref="AR78:AR80"/>
    <mergeCell ref="AR85:AR87"/>
    <mergeCell ref="AR88:AR89"/>
    <mergeCell ref="AR92:AR93"/>
    <mergeCell ref="AR90:AR91"/>
    <mergeCell ref="AR97:AR98"/>
    <mergeCell ref="AR102:AR103"/>
    <mergeCell ref="AR107:AR108"/>
    <mergeCell ref="AN607:AN608"/>
    <mergeCell ref="AR111:AR112"/>
    <mergeCell ref="AR116:AR117"/>
    <mergeCell ref="AR123:AR124"/>
    <mergeCell ref="AR156:AR157"/>
    <mergeCell ref="AG579:AG580"/>
    <mergeCell ref="AJ573:AJ574"/>
    <mergeCell ref="AK573:AK574"/>
    <mergeCell ref="AQ596:AQ597"/>
    <mergeCell ref="AR247:AR248"/>
    <mergeCell ref="AR269:AR270"/>
    <mergeCell ref="AR584:AR585"/>
    <mergeCell ref="AR579:AR580"/>
    <mergeCell ref="AR607:AR608"/>
    <mergeCell ref="AR588:AR589"/>
    <mergeCell ref="AR594:AR595"/>
    <mergeCell ref="AR441:AR442"/>
    <mergeCell ref="AR524:AR525"/>
    <mergeCell ref="AP538:AP539"/>
    <mergeCell ref="AQ538:AQ539"/>
    <mergeCell ref="AI598:AI599"/>
    <mergeCell ref="AR239:AR240"/>
    <mergeCell ref="AR241:AR242"/>
    <mergeCell ref="AR243:AR244"/>
    <mergeCell ref="AF536:AF537"/>
    <mergeCell ref="AR245:AR246"/>
    <mergeCell ref="AR255:AR256"/>
    <mergeCell ref="AR257:AR258"/>
    <mergeCell ref="AR203:AR204"/>
    <mergeCell ref="AM603:AM604"/>
    <mergeCell ref="AP603:AP604"/>
    <mergeCell ref="AP594:AP595"/>
    <mergeCell ref="AL573:AL574"/>
    <mergeCell ref="AM573:AM574"/>
    <mergeCell ref="AR536:AR537"/>
    <mergeCell ref="AP541:AP542"/>
    <mergeCell ref="AQ594:AQ595"/>
    <mergeCell ref="AK592:AK593"/>
    <mergeCell ref="AG536:AG537"/>
    <mergeCell ref="AG598:AG599"/>
    <mergeCell ref="AH598:AH599"/>
    <mergeCell ref="AF596:AF597"/>
    <mergeCell ref="AJ592:AJ593"/>
    <mergeCell ref="AI603:AI604"/>
    <mergeCell ref="AG603:AG604"/>
    <mergeCell ref="AI538:AI539"/>
    <mergeCell ref="AJ538:AJ539"/>
    <mergeCell ref="AK538:AK539"/>
    <mergeCell ref="AG958:AG960"/>
    <mergeCell ref="AQ1030:AQ1032"/>
    <mergeCell ref="AF613:AF614"/>
    <mergeCell ref="AQ1033:AQ1035"/>
    <mergeCell ref="AN1015:AN1016"/>
    <mergeCell ref="AQ1021:AQ1023"/>
    <mergeCell ref="AQ1015:AQ1017"/>
    <mergeCell ref="AN1009:AN1010"/>
    <mergeCell ref="AL1009:AL1011"/>
    <mergeCell ref="AM1009:AM1011"/>
    <mergeCell ref="AH969:AH970"/>
    <mergeCell ref="AK969:AK971"/>
    <mergeCell ref="AL981:AL983"/>
    <mergeCell ref="AE817:AE818"/>
    <mergeCell ref="AM911:AM912"/>
    <mergeCell ref="AQ813:AQ814"/>
    <mergeCell ref="AH825:AH826"/>
    <mergeCell ref="AK825:AK826"/>
    <mergeCell ref="AM1030:AM1032"/>
    <mergeCell ref="AG928:AG930"/>
    <mergeCell ref="AN1024:AN1025"/>
    <mergeCell ref="AN911:AN912"/>
    <mergeCell ref="AQ911:AQ912"/>
    <mergeCell ref="AL846:AL848"/>
    <mergeCell ref="AM846:AM848"/>
    <mergeCell ref="AN846:AN847"/>
    <mergeCell ref="AQ846:AQ848"/>
    <mergeCell ref="AL856:AL858"/>
    <mergeCell ref="AM856:AM858"/>
    <mergeCell ref="AN856:AN857"/>
    <mergeCell ref="AQ856:AQ858"/>
    <mergeCell ref="AL876:AL878"/>
    <mergeCell ref="D1353:D1355"/>
    <mergeCell ref="P1430:R1430"/>
    <mergeCell ref="AG1377:AG1379"/>
    <mergeCell ref="AH1377:AH1378"/>
    <mergeCell ref="G1350:G1352"/>
    <mergeCell ref="F1350:F1352"/>
    <mergeCell ref="Z1362:Z1364"/>
    <mergeCell ref="AB291:AB292"/>
    <mergeCell ref="AB301:AB302"/>
    <mergeCell ref="AK594:AK595"/>
    <mergeCell ref="AL594:AL595"/>
    <mergeCell ref="AB594:AB595"/>
    <mergeCell ref="AC594:AC595"/>
    <mergeCell ref="AD594:AD595"/>
    <mergeCell ref="AE594:AE595"/>
    <mergeCell ref="AF594:AF595"/>
    <mergeCell ref="AK607:AK608"/>
    <mergeCell ref="AL607:AL608"/>
    <mergeCell ref="AG594:AG595"/>
    <mergeCell ref="AE305:AE306"/>
    <mergeCell ref="AL1214:AL1215"/>
    <mergeCell ref="AL1059:AL1061"/>
    <mergeCell ref="AK966:AK968"/>
    <mergeCell ref="AL1033:AL1035"/>
    <mergeCell ref="AL1350:AL1352"/>
    <mergeCell ref="AG1066:AG1067"/>
    <mergeCell ref="AL1036:AL1038"/>
    <mergeCell ref="AA1005:AA1006"/>
    <mergeCell ref="AB1005:AB1006"/>
    <mergeCell ref="AE1005:AE1006"/>
    <mergeCell ref="AF1007:AF1008"/>
    <mergeCell ref="AB1427:AB1428"/>
    <mergeCell ref="AL1359:AL1361"/>
    <mergeCell ref="AM1371:AM1373"/>
    <mergeCell ref="AL1371:AL1373"/>
    <mergeCell ref="AM1350:AM1352"/>
    <mergeCell ref="AL1380:AL1382"/>
    <mergeCell ref="AM1380:AM1382"/>
    <mergeCell ref="AM1374:AM1376"/>
    <mergeCell ref="AF1368:AF1370"/>
    <mergeCell ref="AG1368:AG1370"/>
    <mergeCell ref="AH1368:AH1369"/>
    <mergeCell ref="AK1368:AK1370"/>
    <mergeCell ref="AB1430:AD1430"/>
    <mergeCell ref="AN1371:AN1372"/>
    <mergeCell ref="AK1377:AK1379"/>
    <mergeCell ref="AN1374:AN1375"/>
    <mergeCell ref="AL1383:AL1384"/>
    <mergeCell ref="AM1383:AM1384"/>
    <mergeCell ref="AN1383:AN1384"/>
    <mergeCell ref="AL1353:AL1355"/>
    <mergeCell ref="AL1374:AL1376"/>
    <mergeCell ref="AH1365:AH1366"/>
    <mergeCell ref="AK1365:AK1367"/>
    <mergeCell ref="AM1353:AM1355"/>
    <mergeCell ref="AN1350:AN1351"/>
    <mergeCell ref="AG1365:AG1367"/>
    <mergeCell ref="B1371:B1373"/>
    <mergeCell ref="C1371:C1373"/>
    <mergeCell ref="D1371:D1373"/>
    <mergeCell ref="E1371:E1373"/>
    <mergeCell ref="F1371:F1373"/>
    <mergeCell ref="G1371:G1373"/>
    <mergeCell ref="F1415:F1416"/>
    <mergeCell ref="D1374:D1376"/>
    <mergeCell ref="C1368:C1370"/>
    <mergeCell ref="B1374:B1376"/>
    <mergeCell ref="F1368:F1370"/>
    <mergeCell ref="B1380:B1382"/>
    <mergeCell ref="C1380:C1382"/>
    <mergeCell ref="C1415:C1416"/>
    <mergeCell ref="G1415:G1416"/>
    <mergeCell ref="C1383:C1384"/>
    <mergeCell ref="D1383:D1384"/>
    <mergeCell ref="E1383:E1384"/>
    <mergeCell ref="C1374:C1376"/>
    <mergeCell ref="E1368:E1370"/>
    <mergeCell ref="G1368:G1370"/>
    <mergeCell ref="F1377:F1379"/>
    <mergeCell ref="G1377:G1379"/>
    <mergeCell ref="B1399:L1399"/>
    <mergeCell ref="D1380:D1382"/>
    <mergeCell ref="E1380:E1382"/>
    <mergeCell ref="D1368:D1370"/>
    <mergeCell ref="B1377:B1379"/>
    <mergeCell ref="C1377:C1379"/>
    <mergeCell ref="J1404:J1406"/>
    <mergeCell ref="L1409:L1410"/>
    <mergeCell ref="D1377:D1379"/>
    <mergeCell ref="A1096:A1098"/>
    <mergeCell ref="A1102:A1103"/>
    <mergeCell ref="A1205:A1206"/>
    <mergeCell ref="F1220:F1221"/>
    <mergeCell ref="G1220:G1221"/>
    <mergeCell ref="B1220:B1221"/>
    <mergeCell ref="D1216:D1217"/>
    <mergeCell ref="E1216:E1217"/>
    <mergeCell ref="F1216:F1217"/>
    <mergeCell ref="G1216:G1217"/>
    <mergeCell ref="F1210:F1211"/>
    <mergeCell ref="G1210:G1211"/>
    <mergeCell ref="E1224:E1225"/>
    <mergeCell ref="B1224:B1225"/>
    <mergeCell ref="B1226:B1227"/>
    <mergeCell ref="C1224:C1225"/>
    <mergeCell ref="D1224:D1225"/>
    <mergeCell ref="B1216:B1217"/>
    <mergeCell ref="A1212:A1213"/>
    <mergeCell ref="E1226:E1227"/>
    <mergeCell ref="A1148:A1149"/>
    <mergeCell ref="B1218:B1219"/>
    <mergeCell ref="C1218:C1219"/>
    <mergeCell ref="D1218:D1219"/>
    <mergeCell ref="E1218:E1219"/>
    <mergeCell ref="F1218:F1219"/>
    <mergeCell ref="G1218:G1219"/>
    <mergeCell ref="B1205:B1206"/>
    <mergeCell ref="C1205:C1206"/>
    <mergeCell ref="D1205:D1206"/>
    <mergeCell ref="E1205:E1206"/>
    <mergeCell ref="F1205:F1206"/>
    <mergeCell ref="C1335:C1337"/>
    <mergeCell ref="F1329:F1331"/>
    <mergeCell ref="G1323:G1325"/>
    <mergeCell ref="G1329:G1331"/>
    <mergeCell ref="E1344:E1346"/>
    <mergeCell ref="F1344:F1346"/>
    <mergeCell ref="G1344:G1346"/>
    <mergeCell ref="D1285:D1286"/>
    <mergeCell ref="E1285:E1286"/>
    <mergeCell ref="B1271:B1272"/>
    <mergeCell ref="C1271:C1272"/>
    <mergeCell ref="AA1237:AA1238"/>
    <mergeCell ref="AB1237:AB1238"/>
    <mergeCell ref="Z1239:Z1240"/>
    <mergeCell ref="F1255:F1256"/>
    <mergeCell ref="D1320:D1322"/>
    <mergeCell ref="E1320:E1322"/>
    <mergeCell ref="F1320:F1322"/>
    <mergeCell ref="D1243:D1244"/>
    <mergeCell ref="B1301:B1302"/>
    <mergeCell ref="C1301:C1302"/>
    <mergeCell ref="D1301:D1302"/>
    <mergeCell ref="Z1308:Z1309"/>
    <mergeCell ref="AA1308:AA1309"/>
    <mergeCell ref="T1323:T1325"/>
    <mergeCell ref="U1323:U1325"/>
    <mergeCell ref="V1323:V1324"/>
    <mergeCell ref="Y1323:Y1325"/>
    <mergeCell ref="D1344:D1346"/>
    <mergeCell ref="D1312:D1313"/>
    <mergeCell ref="E1312:E1313"/>
    <mergeCell ref="F1312:F1313"/>
    <mergeCell ref="Z1255:Z1256"/>
    <mergeCell ref="AA1255:AA1256"/>
    <mergeCell ref="Z1259:Z1260"/>
    <mergeCell ref="AA1259:AA1260"/>
    <mergeCell ref="AB1259:AB1260"/>
    <mergeCell ref="AE1259:AE1260"/>
    <mergeCell ref="G1259:G1260"/>
    <mergeCell ref="AG1344:AG1346"/>
    <mergeCell ref="AF1341:AF1343"/>
    <mergeCell ref="AG1341:AG1343"/>
    <mergeCell ref="AH1341:AH1342"/>
    <mergeCell ref="E1279:E1280"/>
    <mergeCell ref="B1261:B1262"/>
    <mergeCell ref="C1261:C1262"/>
    <mergeCell ref="D1261:D1262"/>
    <mergeCell ref="E1261:E1262"/>
    <mergeCell ref="A1188:A1189"/>
    <mergeCell ref="A1200:A1201"/>
    <mergeCell ref="B1269:B1270"/>
    <mergeCell ref="C1269:C1270"/>
    <mergeCell ref="D1269:D1270"/>
    <mergeCell ref="G1275:G1276"/>
    <mergeCell ref="A1237:A1238"/>
    <mergeCell ref="A1263:A1264"/>
    <mergeCell ref="A1253:A1254"/>
    <mergeCell ref="A1271:A1272"/>
    <mergeCell ref="AG1329:AG1331"/>
    <mergeCell ref="AH1329:AH1330"/>
    <mergeCell ref="A1241:A1242"/>
    <mergeCell ref="A1202:A1203"/>
    <mergeCell ref="A1303:A1304"/>
    <mergeCell ref="A1285:A1286"/>
    <mergeCell ref="D1212:D1213"/>
    <mergeCell ref="E1212:E1213"/>
    <mergeCell ref="F1212:F1213"/>
    <mergeCell ref="C1216:C1217"/>
    <mergeCell ref="B1222:B1223"/>
    <mergeCell ref="B1214:B1215"/>
    <mergeCell ref="G1205:G1206"/>
    <mergeCell ref="B1194:B1196"/>
    <mergeCell ref="C1194:C1196"/>
    <mergeCell ref="A1229:A1230"/>
    <mergeCell ref="A1150:A1151"/>
    <mergeCell ref="AH1344:AH1345"/>
    <mergeCell ref="C1220:C1221"/>
    <mergeCell ref="D1220:D1221"/>
    <mergeCell ref="E1220:E1221"/>
    <mergeCell ref="D1323:D1325"/>
    <mergeCell ref="E1323:E1325"/>
    <mergeCell ref="F1323:F1325"/>
    <mergeCell ref="G1332:G1334"/>
    <mergeCell ref="B1341:B1343"/>
    <mergeCell ref="B1200:B1201"/>
    <mergeCell ref="C1200:C1201"/>
    <mergeCell ref="D1200:D1201"/>
    <mergeCell ref="E1200:E1201"/>
    <mergeCell ref="AG1210:AG1211"/>
    <mergeCell ref="AH1210:AH1211"/>
    <mergeCell ref="D1226:D1227"/>
    <mergeCell ref="E1214:E1215"/>
    <mergeCell ref="F1214:F1215"/>
    <mergeCell ref="Z1233:Z1234"/>
    <mergeCell ref="AE1237:AE1238"/>
    <mergeCell ref="AH1253:AH1254"/>
    <mergeCell ref="AG1143:AG1144"/>
    <mergeCell ref="AG1159:AG1161"/>
    <mergeCell ref="D1239:D1240"/>
    <mergeCell ref="E1239:E1240"/>
    <mergeCell ref="F1239:F1240"/>
    <mergeCell ref="G1239:G1240"/>
    <mergeCell ref="F1224:F1225"/>
    <mergeCell ref="B1210:B1211"/>
    <mergeCell ref="C1210:C1211"/>
    <mergeCell ref="D1210:D1211"/>
    <mergeCell ref="E1210:E1211"/>
    <mergeCell ref="A1134:A1135"/>
    <mergeCell ref="A1131:A1132"/>
    <mergeCell ref="F1226:F1227"/>
    <mergeCell ref="G1121:G1122"/>
    <mergeCell ref="F1121:F1122"/>
    <mergeCell ref="E1121:E1122"/>
    <mergeCell ref="D1121:D1122"/>
    <mergeCell ref="A1165:A1166"/>
    <mergeCell ref="A1143:A1144"/>
    <mergeCell ref="G1233:G1234"/>
    <mergeCell ref="B1231:B1232"/>
    <mergeCell ref="B1202:B1204"/>
    <mergeCell ref="C1202:C1204"/>
    <mergeCell ref="D1202:D1204"/>
    <mergeCell ref="E1202:E1204"/>
    <mergeCell ref="F1202:F1204"/>
    <mergeCell ref="G1202:G1204"/>
    <mergeCell ref="C1226:C1227"/>
    <mergeCell ref="B1229:B1230"/>
    <mergeCell ref="B1212:B1213"/>
    <mergeCell ref="C1212:C1213"/>
    <mergeCell ref="A1181:A1182"/>
    <mergeCell ref="A1251:A1252"/>
    <mergeCell ref="A1197:A1198"/>
    <mergeCell ref="D1257:D1258"/>
    <mergeCell ref="E1257:E1258"/>
    <mergeCell ref="F1257:F1258"/>
    <mergeCell ref="G1257:G1258"/>
    <mergeCell ref="D1255:D1256"/>
    <mergeCell ref="E1255:E1256"/>
    <mergeCell ref="G1214:G1215"/>
    <mergeCell ref="AK1137:AK1139"/>
    <mergeCell ref="AK1162:AK1164"/>
    <mergeCell ref="AB1255:AB1256"/>
    <mergeCell ref="AE1255:AE1256"/>
    <mergeCell ref="AA1239:AA1240"/>
    <mergeCell ref="AB1239:AB1240"/>
    <mergeCell ref="AE1239:AE1240"/>
    <mergeCell ref="AE1233:AE1234"/>
    <mergeCell ref="AE1229:AE1230"/>
    <mergeCell ref="AA1231:AA1232"/>
    <mergeCell ref="AB1231:AB1232"/>
    <mergeCell ref="AE1231:AE1232"/>
    <mergeCell ref="B1253:B1254"/>
    <mergeCell ref="C1253:C1254"/>
    <mergeCell ref="AH1140:AH1141"/>
    <mergeCell ref="B1241:B1242"/>
    <mergeCell ref="C1241:C1242"/>
    <mergeCell ref="D1241:D1242"/>
    <mergeCell ref="E1241:E1242"/>
    <mergeCell ref="F1241:F1242"/>
    <mergeCell ref="G1241:G1242"/>
    <mergeCell ref="F1229:F1230"/>
    <mergeCell ref="AL1235:AL1236"/>
    <mergeCell ref="AM1235:AM1236"/>
    <mergeCell ref="AL1212:AL1213"/>
    <mergeCell ref="AM1207:AM1209"/>
    <mergeCell ref="AK1167:AK1169"/>
    <mergeCell ref="AH1150:AH1151"/>
    <mergeCell ref="AH1156:AH1157"/>
    <mergeCell ref="AK1253:AK1254"/>
    <mergeCell ref="AL1243:AL1244"/>
    <mergeCell ref="AM1243:AM1244"/>
    <mergeCell ref="AL1245:AL1246"/>
    <mergeCell ref="AL1251:AL1252"/>
    <mergeCell ref="AM1251:AM1252"/>
    <mergeCell ref="AL1207:AL1209"/>
    <mergeCell ref="AK1170:AK1172"/>
    <mergeCell ref="AL1185:AL1187"/>
    <mergeCell ref="AH1143:AH1144"/>
    <mergeCell ref="AL1183:AL1184"/>
    <mergeCell ref="AM1181:AM1182"/>
    <mergeCell ref="AM1176:AM1178"/>
    <mergeCell ref="B1056:B1058"/>
    <mergeCell ref="C1056:C1058"/>
    <mergeCell ref="D1033:D1035"/>
    <mergeCell ref="A964:A965"/>
    <mergeCell ref="G964:G965"/>
    <mergeCell ref="F964:F965"/>
    <mergeCell ref="E964:E965"/>
    <mergeCell ref="D964:D965"/>
    <mergeCell ref="F1007:F1008"/>
    <mergeCell ref="A1021:A1022"/>
    <mergeCell ref="A1018:A1019"/>
    <mergeCell ref="A993:A994"/>
    <mergeCell ref="A891:A892"/>
    <mergeCell ref="A811:A812"/>
    <mergeCell ref="B799:B800"/>
    <mergeCell ref="A1301:A1302"/>
    <mergeCell ref="A1299:A1300"/>
    <mergeCell ref="A1153:A1154"/>
    <mergeCell ref="A1179:A1180"/>
    <mergeCell ref="A1007:A1008"/>
    <mergeCell ref="A1036:A1037"/>
    <mergeCell ref="A1033:A1034"/>
    <mergeCell ref="A1030:A1031"/>
    <mergeCell ref="A990:A991"/>
    <mergeCell ref="D861:D863"/>
    <mergeCell ref="D856:D858"/>
    <mergeCell ref="A1243:A1244"/>
    <mergeCell ref="A1265:A1266"/>
    <mergeCell ref="A913:A914"/>
    <mergeCell ref="B1039:B1041"/>
    <mergeCell ref="B1007:B1008"/>
    <mergeCell ref="C1007:C1008"/>
    <mergeCell ref="A1291:A1292"/>
    <mergeCell ref="A1293:A1294"/>
    <mergeCell ref="A1335:A1336"/>
    <mergeCell ref="A1332:A1333"/>
    <mergeCell ref="A1329:A1330"/>
    <mergeCell ref="B1251:B1252"/>
    <mergeCell ref="C1251:C1252"/>
    <mergeCell ref="D1251:D1252"/>
    <mergeCell ref="G1255:G1256"/>
    <mergeCell ref="A1353:A1354"/>
    <mergeCell ref="A1326:A1327"/>
    <mergeCell ref="A1323:A1324"/>
    <mergeCell ref="A1320:A1321"/>
    <mergeCell ref="A1317:A1318"/>
    <mergeCell ref="A1314:A1315"/>
    <mergeCell ref="A1283:A1284"/>
    <mergeCell ref="A1220:A1221"/>
    <mergeCell ref="A1239:A1240"/>
    <mergeCell ref="A1347:A1348"/>
    <mergeCell ref="B1283:B1284"/>
    <mergeCell ref="G1229:G1230"/>
    <mergeCell ref="B1233:B1234"/>
    <mergeCell ref="F1235:F1236"/>
    <mergeCell ref="G1235:G1236"/>
    <mergeCell ref="C1231:C1232"/>
    <mergeCell ref="D1237:D1238"/>
    <mergeCell ref="E1237:E1238"/>
    <mergeCell ref="B1239:B1240"/>
    <mergeCell ref="B1257:B1258"/>
    <mergeCell ref="C1257:C1258"/>
    <mergeCell ref="C1341:C1343"/>
    <mergeCell ref="B1335:B1337"/>
    <mergeCell ref="V394:V395"/>
    <mergeCell ref="Y394:Y395"/>
    <mergeCell ref="H536:H537"/>
    <mergeCell ref="B329:B330"/>
    <mergeCell ref="C441:C448"/>
    <mergeCell ref="C465:C466"/>
    <mergeCell ref="F305:F306"/>
    <mergeCell ref="D341:D342"/>
    <mergeCell ref="D255:D256"/>
    <mergeCell ref="N184:N185"/>
    <mergeCell ref="O184:O185"/>
    <mergeCell ref="P184:P185"/>
    <mergeCell ref="S184:S185"/>
    <mergeCell ref="G522:G523"/>
    <mergeCell ref="J518:J519"/>
    <mergeCell ref="G518:G519"/>
    <mergeCell ref="K548:K549"/>
    <mergeCell ref="L548:L549"/>
    <mergeCell ref="G227:G228"/>
    <mergeCell ref="I508:I509"/>
    <mergeCell ref="H441:H448"/>
    <mergeCell ref="I453:I460"/>
    <mergeCell ref="J530:J531"/>
    <mergeCell ref="M520:M521"/>
    <mergeCell ref="H524:H525"/>
    <mergeCell ref="C271:C272"/>
    <mergeCell ref="J538:J539"/>
    <mergeCell ref="H548:H549"/>
    <mergeCell ref="I548:I549"/>
    <mergeCell ref="B273:B274"/>
    <mergeCell ref="E263:E264"/>
    <mergeCell ref="D263:D264"/>
    <mergeCell ref="A584:A585"/>
    <mergeCell ref="A1377:A1378"/>
    <mergeCell ref="O1104:O1106"/>
    <mergeCell ref="N1104:N1106"/>
    <mergeCell ref="O1099:O1101"/>
    <mergeCell ref="N1099:N1101"/>
    <mergeCell ref="G1099:G1101"/>
    <mergeCell ref="F1099:F1101"/>
    <mergeCell ref="E1099:E1101"/>
    <mergeCell ref="D1099:D1101"/>
    <mergeCell ref="C1099:C1101"/>
    <mergeCell ref="B1099:B1101"/>
    <mergeCell ref="A1099:A1101"/>
    <mergeCell ref="C1115:C1120"/>
    <mergeCell ref="B1115:B1120"/>
    <mergeCell ref="A1115:A1120"/>
    <mergeCell ref="G1115:G1120"/>
    <mergeCell ref="F1115:F1120"/>
    <mergeCell ref="G1261:G1262"/>
    <mergeCell ref="B1247:B1248"/>
    <mergeCell ref="C1247:C1248"/>
    <mergeCell ref="A1297:A1298"/>
    <mergeCell ref="A1295:A1296"/>
    <mergeCell ref="G1251:G1252"/>
    <mergeCell ref="A1159:A1160"/>
    <mergeCell ref="A1156:A1157"/>
    <mergeCell ref="A1140:A1141"/>
    <mergeCell ref="A1137:A1138"/>
    <mergeCell ref="A1374:A1375"/>
    <mergeCell ref="A1308:A1311"/>
    <mergeCell ref="G1308:G1311"/>
    <mergeCell ref="F1308:F1311"/>
    <mergeCell ref="N548:N551"/>
    <mergeCell ref="S570:S571"/>
    <mergeCell ref="A283:A284"/>
    <mergeCell ref="A285:A286"/>
    <mergeCell ref="A287:A288"/>
    <mergeCell ref="G566:G569"/>
    <mergeCell ref="E566:E569"/>
    <mergeCell ref="I514:I515"/>
    <mergeCell ref="E305:E306"/>
    <mergeCell ref="C285:C286"/>
    <mergeCell ref="F287:F288"/>
    <mergeCell ref="E281:E282"/>
    <mergeCell ref="D265:D266"/>
    <mergeCell ref="E265:E266"/>
    <mergeCell ref="G263:G264"/>
    <mergeCell ref="F263:F264"/>
    <mergeCell ref="I465:I466"/>
    <mergeCell ref="B536:B537"/>
    <mergeCell ref="J548:J549"/>
    <mergeCell ref="A566:A569"/>
    <mergeCell ref="D471:D472"/>
    <mergeCell ref="B538:B540"/>
    <mergeCell ref="D301:D302"/>
    <mergeCell ref="F465:F466"/>
    <mergeCell ref="F453:F460"/>
    <mergeCell ref="G311:G312"/>
    <mergeCell ref="G291:G292"/>
    <mergeCell ref="B301:B302"/>
    <mergeCell ref="H514:H515"/>
    <mergeCell ref="F532:F535"/>
    <mergeCell ref="F522:F523"/>
    <mergeCell ref="H532:H533"/>
    <mergeCell ref="F514:F517"/>
    <mergeCell ref="H465:H466"/>
    <mergeCell ref="C341:C342"/>
    <mergeCell ref="D473:D476"/>
    <mergeCell ref="F508:F513"/>
    <mergeCell ref="E508:E513"/>
    <mergeCell ref="D508:D513"/>
    <mergeCell ref="D477:D479"/>
    <mergeCell ref="D441:D448"/>
    <mergeCell ref="G341:G342"/>
    <mergeCell ref="F436:F437"/>
    <mergeCell ref="G436:G437"/>
    <mergeCell ref="B488:B501"/>
    <mergeCell ref="G520:G521"/>
    <mergeCell ref="E453:E460"/>
    <mergeCell ref="G532:G535"/>
    <mergeCell ref="F477:F479"/>
    <mergeCell ref="F427:F428"/>
    <mergeCell ref="E427:E428"/>
    <mergeCell ref="D427:D428"/>
    <mergeCell ref="C427:C428"/>
    <mergeCell ref="B427:B428"/>
    <mergeCell ref="G524:G529"/>
    <mergeCell ref="F524:F529"/>
    <mergeCell ref="E477:E479"/>
    <mergeCell ref="H490:H494"/>
    <mergeCell ref="D465:D466"/>
    <mergeCell ref="F530:F531"/>
    <mergeCell ref="H502:H503"/>
    <mergeCell ref="G283:G284"/>
    <mergeCell ref="F291:F292"/>
    <mergeCell ref="E291:E292"/>
    <mergeCell ref="D291:D292"/>
    <mergeCell ref="C291:C292"/>
    <mergeCell ref="G271:G272"/>
    <mergeCell ref="G473:G476"/>
    <mergeCell ref="G279:G280"/>
    <mergeCell ref="F285:F286"/>
    <mergeCell ref="A570:A572"/>
    <mergeCell ref="K596:K597"/>
    <mergeCell ref="L598:L599"/>
    <mergeCell ref="G592:G593"/>
    <mergeCell ref="O566:O567"/>
    <mergeCell ref="U596:U597"/>
    <mergeCell ref="A596:A597"/>
    <mergeCell ref="C1249:C1250"/>
    <mergeCell ref="D1249:D1250"/>
    <mergeCell ref="N1093:N1095"/>
    <mergeCell ref="A1110:A1112"/>
    <mergeCell ref="A1113:A1114"/>
    <mergeCell ref="N1102:N1103"/>
    <mergeCell ref="G1107:G1109"/>
    <mergeCell ref="T1115:T1116"/>
    <mergeCell ref="D940:D942"/>
    <mergeCell ref="E940:E942"/>
    <mergeCell ref="F940:F942"/>
    <mergeCell ref="G940:G942"/>
    <mergeCell ref="A1093:A1095"/>
    <mergeCell ref="B1102:B1103"/>
    <mergeCell ref="U888:U890"/>
    <mergeCell ref="C1102:C1103"/>
    <mergeCell ref="D1253:D1254"/>
    <mergeCell ref="E1249:E1250"/>
    <mergeCell ref="F1251:F1252"/>
    <mergeCell ref="F1249:F1250"/>
    <mergeCell ref="G1249:G1250"/>
    <mergeCell ref="G1237:G1238"/>
    <mergeCell ref="G1066:G1067"/>
    <mergeCell ref="D1167:D1169"/>
    <mergeCell ref="E1167:E1169"/>
    <mergeCell ref="F1167:F1169"/>
    <mergeCell ref="D1170:D1172"/>
    <mergeCell ref="E1170:E1172"/>
    <mergeCell ref="F1170:F1172"/>
    <mergeCell ref="G1170:G1172"/>
    <mergeCell ref="D1148:D1149"/>
    <mergeCell ref="E1148:E1149"/>
    <mergeCell ref="F1148:F1149"/>
    <mergeCell ref="G1148:G1149"/>
    <mergeCell ref="E1176:E1178"/>
    <mergeCell ref="G1243:G1244"/>
    <mergeCell ref="D1245:D1246"/>
    <mergeCell ref="E1243:E1244"/>
    <mergeCell ref="F1243:F1244"/>
    <mergeCell ref="F1253:F1254"/>
    <mergeCell ref="G1253:G1254"/>
    <mergeCell ref="E1253:E1254"/>
    <mergeCell ref="E1115:E1120"/>
    <mergeCell ref="D1115:D1120"/>
    <mergeCell ref="D1207:D1209"/>
    <mergeCell ref="E1207:E1209"/>
    <mergeCell ref="F1207:F1209"/>
    <mergeCell ref="G1207:G1209"/>
    <mergeCell ref="AH1131:AH1132"/>
    <mergeCell ref="AG1156:AG1158"/>
    <mergeCell ref="AH1148:AH1149"/>
    <mergeCell ref="B1059:B1061"/>
    <mergeCell ref="C1059:C1061"/>
    <mergeCell ref="Z1241:Z1242"/>
    <mergeCell ref="AA1241:AA1242"/>
    <mergeCell ref="AB1241:AB1242"/>
    <mergeCell ref="AE1241:AE1242"/>
    <mergeCell ref="Z1229:Z1230"/>
    <mergeCell ref="AA1229:AA1230"/>
    <mergeCell ref="AB1229:AB1230"/>
    <mergeCell ref="E1245:E1246"/>
    <mergeCell ref="F1245:F1246"/>
    <mergeCell ref="G1245:G1246"/>
    <mergeCell ref="E1251:E1252"/>
    <mergeCell ref="F1159:F1161"/>
    <mergeCell ref="C1245:C1246"/>
    <mergeCell ref="Z1237:Z1238"/>
    <mergeCell ref="B1235:B1236"/>
    <mergeCell ref="C1235:C1236"/>
    <mergeCell ref="D1235:D1236"/>
    <mergeCell ref="E1235:E1236"/>
    <mergeCell ref="B1243:B1244"/>
    <mergeCell ref="C1243:C1244"/>
    <mergeCell ref="F1237:F1238"/>
    <mergeCell ref="D1247:D1248"/>
    <mergeCell ref="E1247:E1248"/>
    <mergeCell ref="F1247:F1248"/>
    <mergeCell ref="G1247:G1248"/>
    <mergeCell ref="AF1066:AF1067"/>
    <mergeCell ref="AF1068:AF1069"/>
    <mergeCell ref="AK1131:AK1133"/>
    <mergeCell ref="AK1148:AK1149"/>
    <mergeCell ref="AK1159:AK1161"/>
    <mergeCell ref="AK1150:AK1152"/>
    <mergeCell ref="AQ1243:AQ1244"/>
    <mergeCell ref="F1066:F1067"/>
    <mergeCell ref="E1066:E1067"/>
    <mergeCell ref="D1066:D1067"/>
    <mergeCell ref="C1066:C1067"/>
    <mergeCell ref="B1066:B1067"/>
    <mergeCell ref="G1070:G1071"/>
    <mergeCell ref="F1070:F1071"/>
    <mergeCell ref="B1237:B1238"/>
    <mergeCell ref="C1237:C1238"/>
    <mergeCell ref="B1245:B1246"/>
    <mergeCell ref="AQ1245:AQ1246"/>
    <mergeCell ref="AL1247:AL1248"/>
    <mergeCell ref="AM1247:AM1248"/>
    <mergeCell ref="AN1247:AN1248"/>
    <mergeCell ref="AQ1247:AQ1248"/>
    <mergeCell ref="AN1235:AN1236"/>
    <mergeCell ref="AQ1235:AQ1236"/>
    <mergeCell ref="V1121:V1122"/>
    <mergeCell ref="AK1156:AK1158"/>
    <mergeCell ref="AG1145:AG1147"/>
    <mergeCell ref="AF1165:AF1166"/>
    <mergeCell ref="AG1165:AG1166"/>
    <mergeCell ref="AH1145:AH1146"/>
    <mergeCell ref="AH1165:AH1166"/>
    <mergeCell ref="AF1137:AF1139"/>
    <mergeCell ref="AG1137:AG1139"/>
    <mergeCell ref="AH1137:AH1138"/>
    <mergeCell ref="Z1249:Z1250"/>
    <mergeCell ref="AA1249:AA1250"/>
    <mergeCell ref="AB1249:AB1250"/>
    <mergeCell ref="AE1249:AE1250"/>
    <mergeCell ref="G1039:G1041"/>
    <mergeCell ref="A1039:A1040"/>
    <mergeCell ref="B1249:B1250"/>
    <mergeCell ref="AB1051:AB1052"/>
    <mergeCell ref="AE1051:AE1053"/>
    <mergeCell ref="A1051:A1052"/>
    <mergeCell ref="Z990:Z992"/>
    <mergeCell ref="AA990:AA992"/>
    <mergeCell ref="AB990:AB991"/>
    <mergeCell ref="AE990:AE992"/>
    <mergeCell ref="A1121:A1122"/>
    <mergeCell ref="AF1140:AF1142"/>
    <mergeCell ref="AG1140:AG1142"/>
    <mergeCell ref="A1009:A1010"/>
    <mergeCell ref="AF1143:AF1144"/>
    <mergeCell ref="A1104:A1106"/>
    <mergeCell ref="A1107:A1109"/>
    <mergeCell ref="A1145:A1146"/>
    <mergeCell ref="D1007:D1008"/>
    <mergeCell ref="D1039:D1041"/>
    <mergeCell ref="AG1068:AG1069"/>
    <mergeCell ref="A1218:A1219"/>
    <mergeCell ref="C1093:C1095"/>
    <mergeCell ref="B1093:B1095"/>
    <mergeCell ref="O1093:O1095"/>
    <mergeCell ref="Z1231:Z1232"/>
    <mergeCell ref="AA1233:AA1234"/>
    <mergeCell ref="AB1233:AB1234"/>
    <mergeCell ref="AQ1251:AQ1252"/>
    <mergeCell ref="AL1257:AL1258"/>
    <mergeCell ref="AM1257:AM1258"/>
    <mergeCell ref="AN1257:AN1258"/>
    <mergeCell ref="AQ1257:AQ1258"/>
    <mergeCell ref="AF1301:AF1302"/>
    <mergeCell ref="AG1301:AG1302"/>
    <mergeCell ref="AH1301:AH1302"/>
    <mergeCell ref="AK1301:AK1302"/>
    <mergeCell ref="AH1277:AH1278"/>
    <mergeCell ref="AK1277:AK1278"/>
    <mergeCell ref="AG1277:AG1278"/>
    <mergeCell ref="AF1277:AF1278"/>
    <mergeCell ref="AH1289:AH1290"/>
    <mergeCell ref="AK1289:AK1290"/>
    <mergeCell ref="AG1289:AG1290"/>
    <mergeCell ref="AF1289:AF1290"/>
    <mergeCell ref="AH1261:AH1262"/>
    <mergeCell ref="AF1261:AF1262"/>
    <mergeCell ref="AG1261:AG1262"/>
    <mergeCell ref="AN1251:AN1252"/>
    <mergeCell ref="AF1253:AF1254"/>
    <mergeCell ref="AG1253:AG1254"/>
    <mergeCell ref="A949:A950"/>
    <mergeCell ref="A1005:A1006"/>
    <mergeCell ref="D1054:D1055"/>
    <mergeCell ref="A996:A997"/>
    <mergeCell ref="D993:D995"/>
    <mergeCell ref="A1015:A1016"/>
    <mergeCell ref="AN1243:AN1244"/>
    <mergeCell ref="E1070:E1071"/>
    <mergeCell ref="D1070:D1071"/>
    <mergeCell ref="C1070:C1071"/>
    <mergeCell ref="B1070:B1071"/>
    <mergeCell ref="AM1245:AM1246"/>
    <mergeCell ref="AN1245:AN1246"/>
    <mergeCell ref="F1068:F1069"/>
    <mergeCell ref="E1068:E1069"/>
    <mergeCell ref="D1068:D1069"/>
    <mergeCell ref="C1068:C1069"/>
    <mergeCell ref="B1068:B1069"/>
    <mergeCell ref="A1070:A1071"/>
    <mergeCell ref="A1068:A1069"/>
    <mergeCell ref="A1066:A1067"/>
    <mergeCell ref="F1059:F1061"/>
    <mergeCell ref="G1036:G1038"/>
    <mergeCell ref="G1068:G1069"/>
    <mergeCell ref="AF1070:AF1071"/>
    <mergeCell ref="G949:G950"/>
    <mergeCell ref="F949:F950"/>
    <mergeCell ref="E949:E950"/>
    <mergeCell ref="D949:D950"/>
    <mergeCell ref="AG1070:AG1071"/>
    <mergeCell ref="AK1070:AK1071"/>
    <mergeCell ref="AF1156:AF1158"/>
    <mergeCell ref="AM876:AM878"/>
    <mergeCell ref="AN876:AN877"/>
    <mergeCell ref="AQ876:AQ878"/>
    <mergeCell ref="AL879:AL881"/>
    <mergeCell ref="AM879:AM881"/>
    <mergeCell ref="AN879:AN880"/>
    <mergeCell ref="AQ879:AQ881"/>
    <mergeCell ref="AK931:AK933"/>
    <mergeCell ref="AF894:AF896"/>
    <mergeCell ref="AG931:AG933"/>
    <mergeCell ref="D864:D866"/>
    <mergeCell ref="E849:E852"/>
    <mergeCell ref="AL911:AL912"/>
    <mergeCell ref="T888:T890"/>
    <mergeCell ref="Z949:Z951"/>
    <mergeCell ref="AA949:AA951"/>
    <mergeCell ref="G861:G863"/>
    <mergeCell ref="D925:D927"/>
    <mergeCell ref="AE861:AE863"/>
    <mergeCell ref="AA861:AA863"/>
    <mergeCell ref="AB861:AB862"/>
    <mergeCell ref="F856:F858"/>
    <mergeCell ref="G856:G858"/>
    <mergeCell ref="F861:F863"/>
    <mergeCell ref="AG937:AG939"/>
    <mergeCell ref="F903:F905"/>
    <mergeCell ref="G903:G905"/>
    <mergeCell ref="AG873:AG875"/>
    <mergeCell ref="G885:G887"/>
    <mergeCell ref="AF867:AF869"/>
    <mergeCell ref="AG867:AG869"/>
    <mergeCell ref="AF873:AF875"/>
    <mergeCell ref="A903:A904"/>
    <mergeCell ref="A894:A895"/>
    <mergeCell ref="G876:G878"/>
    <mergeCell ref="G864:G866"/>
    <mergeCell ref="F879:F881"/>
    <mergeCell ref="G879:G881"/>
    <mergeCell ref="G888:G890"/>
    <mergeCell ref="A882:A883"/>
    <mergeCell ref="B864:B866"/>
    <mergeCell ref="B801:B802"/>
    <mergeCell ref="C801:C802"/>
    <mergeCell ref="C846:C848"/>
    <mergeCell ref="A805:A806"/>
    <mergeCell ref="F811:F812"/>
    <mergeCell ref="G825:G826"/>
    <mergeCell ref="B805:B806"/>
    <mergeCell ref="D801:D802"/>
    <mergeCell ref="E801:E802"/>
    <mergeCell ref="A835:A836"/>
    <mergeCell ref="A833:A834"/>
    <mergeCell ref="A815:A816"/>
    <mergeCell ref="A831:A832"/>
    <mergeCell ref="G831:G832"/>
    <mergeCell ref="F831:F832"/>
    <mergeCell ref="C831:C832"/>
    <mergeCell ref="B831:B832"/>
    <mergeCell ref="F876:F878"/>
    <mergeCell ref="C819:C820"/>
    <mergeCell ref="D876:D878"/>
    <mergeCell ref="E846:E848"/>
    <mergeCell ref="E864:E866"/>
    <mergeCell ref="C827:C828"/>
    <mergeCell ref="AF1593:AF1594"/>
    <mergeCell ref="AG1593:AG1594"/>
    <mergeCell ref="AH1593:AH1594"/>
    <mergeCell ref="AK1593:AK1594"/>
    <mergeCell ref="A425:A426"/>
    <mergeCell ref="B425:B426"/>
    <mergeCell ref="C425:C426"/>
    <mergeCell ref="D425:D426"/>
    <mergeCell ref="E425:E426"/>
    <mergeCell ref="F425:F426"/>
    <mergeCell ref="G425:G426"/>
    <mergeCell ref="Z425:Z426"/>
    <mergeCell ref="AA425:AA426"/>
    <mergeCell ref="AB425:AB426"/>
    <mergeCell ref="AE425:AE426"/>
    <mergeCell ref="B839:B840"/>
    <mergeCell ref="C839:C840"/>
    <mergeCell ref="D839:D840"/>
    <mergeCell ref="E839:E840"/>
    <mergeCell ref="F839:F840"/>
    <mergeCell ref="G839:G840"/>
    <mergeCell ref="T839:T840"/>
    <mergeCell ref="U839:U840"/>
    <mergeCell ref="AB839:AB840"/>
    <mergeCell ref="AE839:AE840"/>
    <mergeCell ref="A839:A840"/>
    <mergeCell ref="D791:D792"/>
    <mergeCell ref="C791:C792"/>
    <mergeCell ref="B791:B792"/>
    <mergeCell ref="A791:A792"/>
    <mergeCell ref="A795:A796"/>
    <mergeCell ref="F518:F519"/>
    <mergeCell ref="B1589:B1590"/>
    <mergeCell ref="C1589:C1590"/>
    <mergeCell ref="D1589:D1590"/>
    <mergeCell ref="E1589:E1590"/>
    <mergeCell ref="F1589:F1590"/>
    <mergeCell ref="G1589:G1590"/>
    <mergeCell ref="Z1589:Z1590"/>
    <mergeCell ref="AA1589:AA1590"/>
    <mergeCell ref="AB1589:AB1590"/>
    <mergeCell ref="AE1589:AE1590"/>
    <mergeCell ref="AF434:AF435"/>
    <mergeCell ref="AG434:AG435"/>
    <mergeCell ref="AH434:AH435"/>
    <mergeCell ref="AK434:AK435"/>
    <mergeCell ref="AF436:AF437"/>
    <mergeCell ref="AG436:AG437"/>
    <mergeCell ref="AH436:AH437"/>
    <mergeCell ref="AK436:AK437"/>
    <mergeCell ref="AF500:AF501"/>
    <mergeCell ref="AG500:AG501"/>
    <mergeCell ref="AH500:AH501"/>
    <mergeCell ref="AK500:AK501"/>
    <mergeCell ref="E1039:E1041"/>
    <mergeCell ref="D1051:D1053"/>
    <mergeCell ref="C990:C992"/>
    <mergeCell ref="AF1150:AF1152"/>
    <mergeCell ref="AG1150:AG1152"/>
    <mergeCell ref="AF1148:AF1149"/>
    <mergeCell ref="AG1148:AG1149"/>
    <mergeCell ref="AF1145:AF1147"/>
    <mergeCell ref="V964:V965"/>
    <mergeCell ref="Y964:Y965"/>
  </mergeCells>
  <printOptions horizontalCentered="1"/>
  <pageMargins left="0.19685039370078741" right="0.19685039370078741" top="0.39370078740157483" bottom="0.19685039370078741" header="3.937007874015748E-2" footer="3.937007874015748E-2"/>
  <pageSetup paperSize="8"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 2  </vt:lpstr>
      <vt:lpstr>'Таблица № 2  '!Заголовки_для_печати</vt:lpstr>
      <vt:lpstr>'Таблица № 2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Ржаницына Наталья Евгеньевна</cp:lastModifiedBy>
  <cp:lastPrinted>2021-06-30T05:43:15Z</cp:lastPrinted>
  <dcterms:created xsi:type="dcterms:W3CDTF">2018-08-07T10:42:28Z</dcterms:created>
  <dcterms:modified xsi:type="dcterms:W3CDTF">2021-10-19T15:04:58Z</dcterms:modified>
</cp:coreProperties>
</file>