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30" windowWidth="28365" windowHeight="11835" activeTab="0"/>
  </bookViews>
  <sheets>
    <sheet name="ФОРМА" sheetId="1" r:id="rId1"/>
  </sheets>
  <definedNames>
    <definedName name="_xlnm.Print_Titles" localSheetId="0">'ФОРМА'!$5:$8</definedName>
    <definedName name="_xlnm.Print_Area" localSheetId="0">'ФОРМА'!$A$1:$T$124</definedName>
  </definedNames>
  <calcPr fullCalcOnLoad="1"/>
</workbook>
</file>

<file path=xl/sharedStrings.xml><?xml version="1.0" encoding="utf-8"?>
<sst xmlns="http://schemas.openxmlformats.org/spreadsheetml/2006/main" count="355" uniqueCount="262">
  <si>
    <t>Федеральный бюджет</t>
  </si>
  <si>
    <t>Областной бюджет</t>
  </si>
  <si>
    <t>наименование субъекта РФ</t>
  </si>
  <si>
    <t>Общая сумма</t>
  </si>
  <si>
    <t>%</t>
  </si>
  <si>
    <t>Код классификации расходов федерального бюджета</t>
  </si>
  <si>
    <t>ЦСР</t>
  </si>
  <si>
    <t>2</t>
  </si>
  <si>
    <t>№</t>
  </si>
  <si>
    <t xml:space="preserve">                   Отчет о реализации мероприятий государственных программ Российской Федерации</t>
  </si>
  <si>
    <t>тыс. рублей</t>
  </si>
  <si>
    <t>Рз, Пр</t>
  </si>
  <si>
    <t>Финансирование мероприятия, 
всего</t>
  </si>
  <si>
    <t>Профинан-сировано (поступило средств из ФБ)</t>
  </si>
  <si>
    <t>Фактический расход</t>
  </si>
  <si>
    <t>Фактически предусмотрено 
на текущий год</t>
  </si>
  <si>
    <t>отчетный период
(нарастающим итогом, 
без учета остатков прошлых лет)</t>
  </si>
  <si>
    <t>в том числе по источникам:</t>
  </si>
  <si>
    <t>6=10+13+16+19</t>
  </si>
  <si>
    <t>5=9+12+15+18</t>
  </si>
  <si>
    <t>Фактически выделено 
на текущий год 
(по ФБ - профи-нансировано)</t>
  </si>
  <si>
    <t>%
от профи-нанси-ровано</t>
  </si>
  <si>
    <t>Калужская область</t>
  </si>
  <si>
    <t>10 06</t>
  </si>
  <si>
    <t>11 03</t>
  </si>
  <si>
    <t>04 12</t>
  </si>
  <si>
    <t>04 05</t>
  </si>
  <si>
    <t>Государственная программа Российской Федерации "Развитие здравоохранения"</t>
  </si>
  <si>
    <t xml:space="preserve">Государственная программа Российской Федерации "Социальная поддержка граждан"
</t>
  </si>
  <si>
    <t>10 04</t>
  </si>
  <si>
    <t>Государственная программа Российской Федерации "Развитие физической культуры и спорта"</t>
  </si>
  <si>
    <t>Государственная программа Российской Федерации "Экономическое развитие и инновационная экономика"</t>
  </si>
  <si>
    <t xml:space="preserve">10 03 </t>
  </si>
  <si>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</si>
  <si>
    <t>04 06</t>
  </si>
  <si>
    <t>Государственная программа Российской Федерации "Воспроизводство и использование природных ресурсов"</t>
  </si>
  <si>
    <t>01</t>
  </si>
  <si>
    <t>03</t>
  </si>
  <si>
    <t>04</t>
  </si>
  <si>
    <t>05</t>
  </si>
  <si>
    <t>14 03</t>
  </si>
  <si>
    <t>02</t>
  </si>
  <si>
    <t>Государственная программа Российской Федерации "Развитие образования" на 2013-2020 годы</t>
  </si>
  <si>
    <t>07 02</t>
  </si>
  <si>
    <t>Государственная программа Российской Федерации "Развитие культуры и туризма" на 2013 - 2020 годы</t>
  </si>
  <si>
    <t>11</t>
  </si>
  <si>
    <t>09 09</t>
  </si>
  <si>
    <t>Субсидии на возмещение части затрат на приобретение элитных семян</t>
  </si>
  <si>
    <t>Субсидии на возмещение части затрат на закладку и уход за многолетними плодовыми и ягодными насаждениями</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</si>
  <si>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</si>
  <si>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на поддержку племенного крупного рогатого скота молочного направления</t>
  </si>
  <si>
    <t>Субсидии на грантовую поддержку сельскохозяйственных потребительских кооперативов для развития материально-технической базы</t>
  </si>
  <si>
    <t>Субсидии на поддержку начинающих фермеров</t>
  </si>
  <si>
    <t>Субсидии на развитие семейных животноводческих ферм</t>
  </si>
  <si>
    <t>Субсидии на возмещение части процентной ставки по долгосрочным, среднесрочным и краткосрочным кредитам, взятым малыми формами хозяйствования</t>
  </si>
  <si>
    <t>Государственная программа Российской Федерации "Обеспечение общественного порядка и противодействие преступности"</t>
  </si>
  <si>
    <t>08</t>
  </si>
  <si>
    <t>Субсидии на поддержку творческой деятельности и техническое оснащение детских и кукольных театров</t>
  </si>
  <si>
    <t>09 02</t>
  </si>
  <si>
    <t>Бюджеты МО</t>
  </si>
  <si>
    <t>Субсидии на содержание товарного поголовья коров специализированных мясных пород</t>
  </si>
  <si>
    <t>0511354970</t>
  </si>
  <si>
    <t>05 1 F1 50210</t>
  </si>
  <si>
    <t>Стимулирование программ развития жилищного строительства субъектов Российской Федерации</t>
  </si>
  <si>
    <t>15 2 I8 55270</t>
  </si>
  <si>
    <t>15 2 I5 55270</t>
  </si>
  <si>
    <t>15 Г 00 55110</t>
  </si>
  <si>
    <t>Субсидии на проведение комплексных кадастровых работ</t>
  </si>
  <si>
    <t>25 У В2 54330</t>
  </si>
  <si>
    <t>Иные межбюджетные трансферты на возмещение части затрат на уплату процентов по инвестиционным кредитам (займам) в агропромышленном комплексе</t>
  </si>
  <si>
    <t>47 4 02 55250</t>
  </si>
  <si>
    <t>Государственная программа Российской Федерации "Научно-технологическое развитие Российской Федерации"</t>
  </si>
  <si>
    <t>02 2 Е1 55200</t>
  </si>
  <si>
    <t>07 01</t>
  </si>
  <si>
    <t>04 09</t>
  </si>
  <si>
    <t>"Государственная программа развития сельского хозяйства и регулирования рынков сельскохозяйственной продукции, сырья и продовольствия"</t>
  </si>
  <si>
    <t>24</t>
  </si>
  <si>
    <t xml:space="preserve">24 2  R1 53930 </t>
  </si>
  <si>
    <t>Государственная программа Российской Федерации "Развитие транспортной системы"</t>
  </si>
  <si>
    <t>11 02</t>
  </si>
  <si>
    <t>01 К 05 54020</t>
  </si>
  <si>
    <t>01 К N4 51700</t>
  </si>
  <si>
    <t>01 7 05 51380</t>
  </si>
  <si>
    <t>01 К 06 52020</t>
  </si>
  <si>
    <t>01 К Р3 54680</t>
  </si>
  <si>
    <t>01 К 08 52010</t>
  </si>
  <si>
    <t>09 01</t>
  </si>
  <si>
    <t>01 К N3 51900</t>
  </si>
  <si>
    <t>01 К N2 51920</t>
  </si>
  <si>
    <t>01 К N1 51960</t>
  </si>
  <si>
    <t>01 7 01 51610</t>
  </si>
  <si>
    <t>Наименование мероприятия, 
на реализацию которого предоставляется субсидия, иной межбюджетный трансферт</t>
  </si>
  <si>
    <t>Субсидии на компенсацию отдельным категориям граждан оплаты взноса на капитальный ремонт общего имущества в многоквартирном доме</t>
  </si>
  <si>
    <t>Субсидии на реализацию мероприятий субъектов Российской Федерации в сфере реабилитации и абилитации инвалидов</t>
  </si>
  <si>
    <t>07</t>
  </si>
  <si>
    <t>Государственная программа Российской Федерации "Содействие занятости населения"</t>
  </si>
  <si>
    <t>Прочие источники</t>
  </si>
  <si>
    <t xml:space="preserve">Оказание высокотехнологичной медицинской помощи, не включенной в базовую программу обязательного медицинского страхования  </t>
  </si>
  <si>
    <t>Финансовое обеспечение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</si>
  <si>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Финансовое обеспечение закупок диагностических средств для выявления, определения чувствительности микробактерии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</si>
  <si>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Финансовое обеспечение закупок диагностических средств для выявления и мониторинга лечения лиц, инфицированных  вирусом иммунодефицита человека, в том числе в сочетании с вирусами гепатитов В и (или) С</t>
  </si>
  <si>
    <t>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некоммерческих организаций</t>
  </si>
  <si>
    <t>017 03 52160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</si>
  <si>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а также по созданию и сопровождению электронных баз данных учета и движения данных лекарственных препаратов в пределах субъектов Российской Федерации.</t>
  </si>
  <si>
    <t>01Г N7 51140</t>
  </si>
  <si>
    <t>01 7 01 54600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</si>
  <si>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</si>
  <si>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Реализация отдельных полномочий в области обеспечения лекартсвенными препаратами, изделиями медицинского назначения, а также специализированными продуктами лечебного питания (межбюджетные трансферты)</t>
  </si>
  <si>
    <t>01 К 06 58110</t>
  </si>
  <si>
    <t>Предоставлении иного межбюджетного трансферта при приобретении аппаратов для искусственной вентиляции легких для медицинских организаций</t>
  </si>
  <si>
    <t>09 04</t>
  </si>
  <si>
    <t>01 К N1 55540</t>
  </si>
  <si>
    <t>Реализация мероприятий по закупке авиационных работ в целях оказания медицинской помощи (скорой, в том числе специализированной, медицинской помощи)</t>
  </si>
  <si>
    <t>01 К N4 52460</t>
  </si>
  <si>
    <t>Субсидия на софинансирование нового строительства или реконструкции детских больниц (корпусов)</t>
  </si>
  <si>
    <t>01 К N2 55860</t>
  </si>
  <si>
    <t>Субсидия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</si>
  <si>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Субсидия, предоставляемая в 2019 году бюджетам субъектов Российской Федерации в целях софинансирования расходных обязательств, связанных с дооснащением (обеспечением) детских поликлиник и детских поликлинических отделений медицинских организаций медицинскими изделиями и (или) созданием в них организационно-планировочных решений внутренних пространств, обеспечивающих комфортность пребывания детей.</t>
  </si>
  <si>
    <r>
      <t>Распределение субсидий на реализацию региональных проектов "Создание</t>
    </r>
    <r>
      <rPr>
        <sz val="10"/>
        <color indexed="8"/>
        <rFont val="Times New Roman"/>
        <family val="1"/>
      </rPr>
      <t xml:space="preserve"> единого цифрового контура здравоохранения на основе единой государственной информационной системы в сфере здравоохранения (ЕГИСЗ)"</t>
    </r>
  </si>
  <si>
    <r>
      <t xml:space="preserve">Предоставление иного межбюджетного трансферта в целях софинансирования расходных обязательств, возникающих при проведении вакцинации против </t>
    </r>
    <r>
      <rPr>
        <sz val="10"/>
        <color indexed="8"/>
        <rFont val="Times New Roman"/>
        <family val="1"/>
      </rPr>
      <t>пневмококовой инфекции граждан старше трудоспособного возраста из групп риска, проживающих в организациях социального обслуживания</t>
    </r>
  </si>
  <si>
    <r>
      <t>Предоставление субсидии в целях софинансирования реализации государственных программ, содержащих мероприятия по развитию системы</t>
    </r>
    <r>
      <rPr>
        <sz val="10"/>
        <color indexed="8"/>
        <rFont val="Times New Roman"/>
        <family val="1"/>
      </rPr>
      <t xml:space="preserve"> паллиативной медицинской помощи</t>
    </r>
  </si>
  <si>
    <r>
      <t xml:space="preserve">Предоставление иного межбюджетного трансферта на переоснащение медицинских организаций, оказывающих медицинскую помощь больным с </t>
    </r>
    <r>
      <rPr>
        <sz val="10"/>
        <color indexed="8"/>
        <rFont val="Times New Roman"/>
        <family val="1"/>
      </rPr>
      <t xml:space="preserve">онкологическими заболеваниями </t>
    </r>
  </si>
  <si>
    <r>
      <t xml:space="preserve">Предоставление иного межбюджетного трансферта в целях софинансирования расходных обязательств возникающих при оснащении оборудованием региональных </t>
    </r>
    <r>
      <rPr>
        <sz val="10"/>
        <color indexed="8"/>
        <rFont val="Times New Roman"/>
        <family val="1"/>
      </rPr>
      <t>сосудистых центров и первичных сосудистых отделений</t>
    </r>
  </si>
  <si>
    <r>
      <t xml:space="preserve">Предоставление иного межбюджетного трансферта в целях создания и </t>
    </r>
    <r>
      <rPr>
        <sz val="10"/>
        <color indexed="8"/>
        <rFont val="Times New Roman"/>
        <family val="1"/>
      </rPr>
      <t>замены фельдшерских, фельдшерско-акушерских пунктов и врачебных амбулаторий для населенных пунктов с численностью населения от 100 до 2000 человек бюджетам субъектов Российской Федерации</t>
    </r>
  </si>
  <si>
    <t>Субсидия из федерального бюджета бюджету Калужской области на создание в общеобразовательных организациях, расположенных в сельской местности и малых городах, условий для занятия физической культурой и спортом, в целях достижения показателей и результатов федерального проекта «Успех каждого ребенка», входящего в состав национального проекта «Образование», в рамках государственной программы Российской Федерации «Развитие образования»</t>
  </si>
  <si>
    <t>02  2  02  52550</t>
  </si>
  <si>
    <t>Субсидия  на софинансирование
расходных обязательств субъектов Российской Федерации, возникающих при  реализации
мероприятий  по  благоустройству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в  рамках  государственной  программы 
Российской  Федерации  «Развитие  образования»</t>
  </si>
  <si>
    <t> Субсидия  на софинансирование
расходов,  возникающих  при  реализации  государственных  программ  субъектов
Российской Федерации, на реализацию мероприятий по содействию созданию в субъектах
Российской  Федерации  (исходя  из  прогнозируемой  потребности)  новых  мест  вобщеобразовательных  организациях  в  рамках  государственной  программы  Российской
Федерации  «Развитие  образования»</t>
  </si>
  <si>
    <t>07 03, 07 09</t>
  </si>
  <si>
    <t xml:space="preserve"> 02  4  Е4  52190, 02  2  Е4  52100</t>
  </si>
  <si>
    <t>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"Внедрение  целевой  модели  цифровой  образовательной  среды  в  общеобразовательных
организациях  и  профессиональных  образовательных  организациях"  и  "Создание  центров
цифрового образования детей" </t>
  </si>
  <si>
    <t>02  2  Е1  51870, 02  2  Е1  51690</t>
  </si>
  <si>
    <t>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  "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</si>
  <si>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07 03</t>
  </si>
  <si>
    <t>02  4  E2  54910, 02 4 E2 51730,02  4  E2  51890, 02  4  E2  51750, 02 4 E2 52470, 02 4 E2 55370</t>
  </si>
  <si>
    <t>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детских
технопарков  «Кванториум»,  «Создание  центров  выявления  и  поддержки  одаренных
детей», «Создание ключевых центров развития детей», «Создание мобильных технопарков
«Кванториум»  и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</si>
  <si>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02  2  02  52560</t>
  </si>
  <si>
    <t xml:space="preserve"> Субсидия  в  целях
софинансирования  расходных  обязательств  субъектов  Российской  Федерации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в  рамках
государственной  программы  Российской  Федерации  «Развитие  образования» </t>
  </si>
  <si>
    <t>022P2  52530</t>
  </si>
  <si>
    <t xml:space="preserve"> Субсидия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связанных  с  реализацией
мероприятий  по  созданию  в  субъектах  Российской  Федерации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государственной  программы  Российской Федерации  "Развитие  образования"</t>
  </si>
  <si>
    <t>1004</t>
  </si>
  <si>
    <t>033Р150840</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</si>
  <si>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</si>
  <si>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05 03</t>
  </si>
  <si>
    <t>Федеральный проект "Формирование комфортной городской среды" подпрограмма 2 "Создание условий для обеспечения качественными услугами жилищно-коммунального хозяйства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наименование мероприятия "Реализованы мероприятия по благоустройству мест массового отдыха населения (городских парков),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</si>
  <si>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 xml:space="preserve"> Мероприятие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</si>
  <si>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25 У В3 55080</t>
  </si>
  <si>
    <t>Субсидии на поддержку племенного крупного рогатого скота мясного направления</t>
  </si>
  <si>
    <t>25 У В3 55020</t>
  </si>
  <si>
    <t>Субсидии на обеспечение прироста производства молока в рамках приоритетной подотрасли</t>
  </si>
  <si>
    <t>Субсидии на прирост маточного поголовья овец и коз</t>
  </si>
  <si>
    <t>25 У I7 54800</t>
  </si>
  <si>
    <t>Субсидии на создание системы поддержки фермеров и развитие сельской кооперации</t>
  </si>
  <si>
    <t>Государственная программа Российской Федерации "Комплексное развитие сельских территорий"</t>
  </si>
  <si>
    <t>07 09</t>
  </si>
  <si>
    <t>48 3 В1 55760</t>
  </si>
  <si>
    <t xml:space="preserve">Субсидии на обеспечение комплексного развития сельских территорий </t>
  </si>
  <si>
    <t>48 4 В3 55760</t>
  </si>
  <si>
    <t>48 2 В1 55760</t>
  </si>
  <si>
    <t>48 4 01 55760</t>
  </si>
  <si>
    <t>282G850570</t>
  </si>
  <si>
    <t>Субсидия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наукоградов Российской Федерации (в рамках государственной программы Российской Федерации "Научно-технологическое развитие
Российской Федерации")</t>
  </si>
  <si>
    <t>48 4 В2 53720</t>
  </si>
  <si>
    <t xml:space="preserve">Субсидии на реализацию мероприятий подпрограммы "Создание и развитие инфраструктуры на сельских территориях" государственной программы Российской Федерации "Комплексное развитие сельскихтерриторий" </t>
  </si>
  <si>
    <t xml:space="preserve">Иные межбюджетные трансферты, имеющие целевое назначение в целях софинансирования расходных обязательств субъектов Российской Федерации, возникающих при реализации мероприятий, направленных на достижение результатов региональных проектов, обеспечивающих достижение результатов федерального проекта "Дорожная сеть" в рамках реализации национального проекта "Безопасные и качественные автомобильные дороги" </t>
  </si>
  <si>
    <t>0311</t>
  </si>
  <si>
    <t>0860550860</t>
  </si>
  <si>
    <t>Субсидии на реализацию мероприятий,  предусмотренных региональной программой переселения,включенной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</si>
  <si>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0401</t>
  </si>
  <si>
    <t>071P352940</t>
  </si>
  <si>
    <t xml:space="preserve"> Субсидии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</si>
  <si>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071L352910</t>
  </si>
  <si>
    <t>Субсидии на повышение эффективности службы занятости</t>
  </si>
  <si>
    <t>071L355690</t>
  </si>
  <si>
    <t>Субсидии  на переобучение, повышение квалификации работников предприятий в целях поддержки занятости и повышения эффективности рынка труда</t>
  </si>
  <si>
    <t>1003</t>
  </si>
  <si>
    <t>0511354620</t>
  </si>
  <si>
    <t>1006</t>
  </si>
  <si>
    <t>0420655140</t>
  </si>
  <si>
    <t xml:space="preserve">Государственная поддержка спортивных организаций, осуществляющих подготовку спортивного резерва для сборных команд Российской Федерации
 </t>
  </si>
  <si>
    <t>1102</t>
  </si>
  <si>
    <t xml:space="preserve">Реализация федеральной целевой программы "Развитие физической культуры и спорта в Российской Федерации на 2016 - 2020 годы"
 </t>
  </si>
  <si>
    <t xml:space="preserve">Приобретение спортивного оборудования и инвентаря для приведения организаций спортивной подготовки в нормативное состояние
 </t>
  </si>
  <si>
    <t>0503</t>
  </si>
  <si>
    <t>Субсидии на увековечение памяти погибших при защите Отечества</t>
  </si>
  <si>
    <t>Федеральная целевая программа "Увековечение памяти погибших при защите Отечества на 2019 - 2024 годы"</t>
  </si>
  <si>
    <t>0801</t>
  </si>
  <si>
    <t>Субсидия на поддержку отрасли культуры (Государственная поддержка лучших работников сельских учреждений культуры)</t>
  </si>
  <si>
    <t>Субсидия на подготовку и проведение празднования на федеральном уровне памятных дат субъектов Российской Федерации</t>
  </si>
  <si>
    <t>Субсидия на обеспечение развития и укрепления материально-технической базы домов культуры в населенных пунктах с численностью населения до 50 тысяч человек</t>
  </si>
  <si>
    <t>114А354530</t>
  </si>
  <si>
    <t>Иной межбюджетный трансферт на создание виртуальных концертных залов</t>
  </si>
  <si>
    <t>114А155190</t>
  </si>
  <si>
    <t xml:space="preserve">Региональный проект "Культурная среда" (Приобретены передвижные многофункциональные культурные центры (автоклубы) для обслуживания сельского населения субъектов Российской Федерации) </t>
  </si>
  <si>
    <t>Региональный проект "Культурная среда" (Мероприятия,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t>
  </si>
  <si>
    <t xml:space="preserve">Субсидии на мероприятия государственной программы Российской Федерации "Доступная среда" на 2011 - 2020 годы
 </t>
  </si>
  <si>
    <t>0412</t>
  </si>
  <si>
    <t>Субсидия на государственную поддержку малого и среднего предпринимательства (РП "Популяризация предпринимательства")</t>
  </si>
  <si>
    <t>Субсидия на государственную поддержку малого и среднего предпринимательства (РП "Акселерация")</t>
  </si>
  <si>
    <t>15 2 L2 52960</t>
  </si>
  <si>
    <t>Государственная поддержка субъектов Российской Федерации - участников национального проекта "Производительность труда и поддержка занятости"</t>
  </si>
  <si>
    <t>15 2 I4 55271</t>
  </si>
  <si>
    <t>Субсидия на государственную поддержку малого и среднего предпринимательства (РП "Финансовая поддержка")</t>
  </si>
  <si>
    <t>31</t>
  </si>
  <si>
    <t xml:space="preserve">Государственная программа Российской Федерации "Доступная среда" на 2011 - 2020 годы  </t>
  </si>
  <si>
    <t>Субсидии на поддержку племенного животноводства</t>
  </si>
  <si>
    <t>0330750820</t>
  </si>
  <si>
    <t xml:space="preserve">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</si>
  <si>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Оснащение объектов спортивной инфраструктуры спортивно-технологическим оборудованием</t>
  </si>
  <si>
    <t>131P551390</t>
  </si>
  <si>
    <t>Создание и модернизация объектов спортивной инфраструктуры региональной собственности для занятий физической культурой и спортом (Межбюджетные трансферты)</t>
  </si>
  <si>
    <t>0</t>
  </si>
  <si>
    <t xml:space="preserve"> 0</t>
  </si>
  <si>
    <t xml:space="preserve">15 2 01 58310   </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</si>
  <si>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(субсидии некоммерческой организации, не являющейся государственным (муниципальным) учреждением, Государственному фонду поддержки предпринимательства Калужской области (микрокредитная компания) в виде имущественного взноса в целях предоставления микрозаймов субъектам малого и среднего предпринимательства и услуг поручительства субъектам малого и среднего предпринимательства)</t>
  </si>
  <si>
    <t>111А154540</t>
  </si>
  <si>
    <t>Иной межбюджетный трансферт на создание модельных муниципальных библиотек</t>
  </si>
  <si>
    <t>02  2  E2  50970</t>
  </si>
  <si>
    <t>0703</t>
  </si>
  <si>
    <t>0240153060</t>
  </si>
  <si>
    <t>Субсидии на реализацию мероприятий по модернизации региональных и муниципальных детских школ искусств по видам искусств</t>
  </si>
  <si>
    <t>0410250270</t>
  </si>
  <si>
    <t>136P554950</t>
  </si>
  <si>
    <t>131P552280</t>
  </si>
  <si>
    <t>0220253030</t>
  </si>
  <si>
    <t xml:space="preserve">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</si>
  <si>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052F254240</t>
  </si>
  <si>
    <t>Предоставление иного межбюджетного трансферта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</si>
  <si>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на поддержку собственного производства молока</t>
  </si>
  <si>
    <t>Субсидии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</si>
  <si>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25 У Т2 52590</t>
  </si>
  <si>
    <t>Субсидии на стимулирование производства масличных культур</t>
  </si>
  <si>
    <t>0705</t>
  </si>
  <si>
    <t>071P254610</t>
  </si>
  <si>
    <t xml:space="preserve"> Субсидия  из федерального бюджета бюджету Калужской области на переобучение и повышение квалификации женщин в период отпуска по уходу за ребенком в возрасте до трех лет, а также женщин, иеющих детей дошкольного возраста, не состоящих в трудовых отноениях и оратившихся в органы службы занятости </t>
  </si>
  <si>
    <t>0710258520</t>
  </si>
  <si>
    <t xml:space="preserve"> Иной межбюджетный трансферт, имеющий целевое
назначение, из федерального бюджета бюджету Калужской области на реализацию
дополнительных мероприятий, направленных на снижение напряженности на рынке труда,
за счет средств резервного фонда Правительства Российской Федерации</t>
  </si>
  <si>
    <t>0330153020</t>
  </si>
  <si>
    <t>Ежемесячная денежная выплата на ребенка в возрасте от трех до семи лет включительно в соответствии с Указом Президента Российской Федерации от 20 марта 2020 года № 199 "О дополнительных мерах государственной поддержки семей, имеющих детей"</t>
  </si>
  <si>
    <t>033015302F</t>
  </si>
  <si>
    <t>Ежемесячная денежная выплата на ребенка в возрасте от трех до семи лет включительно в соответствии с Указом Президента Российской Федерации от 20 марта 2020 года № 199 "О дополнительных мерах государственной поддержки семей, имеющих детей" (резервный фонд Правительства РФ)</t>
  </si>
  <si>
    <t>1002</t>
  </si>
  <si>
    <t>0320558340</t>
  </si>
  <si>
    <t xml:space="preserve">   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</si>
  <si>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0320558370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</si>
  <si>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t>
  </si>
  <si>
    <t>Субсидия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предусматривающих
мероприятия  по  организации  бесплатного  горячего  питания  обучающихся,  получающих
начальное общее образование в государственных образовательных организациях субъекта
Российской  Федерации  (муниципальных  образовательных  организациях)  в  рамках
государственной  программы  Российской  Федерации  «Развитие  образования» </t>
  </si>
  <si>
    <t>02 2 02 53040</t>
  </si>
  <si>
    <t>02 2 P2 52320</t>
  </si>
  <si>
    <t>Субсидия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связанных с реализацией
мероприятий по созданию в субъектах Российской Федерации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государственной программы Российской Федерации
«Развитие образования»</t>
  </si>
  <si>
    <t>10 03</t>
  </si>
  <si>
    <t xml:space="preserve">05 1 5134 </t>
  </si>
  <si>
    <t>ведомственная целевая программа "Оказание государственной поддержки гражданам в обеспечении жильем и оплате жилищно-коммунальных услуг"</t>
  </si>
  <si>
    <t>0511351760  0511351340 0511351350</t>
  </si>
  <si>
    <t>Мероприятия по обеспечению жильем отдельных категорий граждан</t>
  </si>
  <si>
    <t>2020 год</t>
  </si>
  <si>
    <t>Восстановление и экологическая реабилитация водных объектов путем осуществления закупки товаров, работ и услуг для государственных нужд (Экологическая реабилитация Людиновского водохранилища в городе Людиново Калужской области)</t>
  </si>
  <si>
    <t>132Р550810</t>
  </si>
  <si>
    <t>132P552290</t>
  </si>
  <si>
    <t>05 2 F2 55550</t>
  </si>
  <si>
    <t>25 2 В1 54720</t>
  </si>
  <si>
    <t>Иные межбюджетные трансферты на возмещение части прямых понесенных затрат на создание и (или) модернизацию объектов агропромышленного комплекса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</si>
</sst>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
    <numFmt numFmtId="179" formatCode="0.0"/>
    <numFmt numFmtId="180" formatCode="0.00;[Red]0.00"/>
    <numFmt numFmtId="181" formatCode="_-* #,##0.00000_р_._-;\-* #,##0.00000_р_._-;_-* &quot;-&quot;??_р_._-;_-@_-"/>
    <numFmt numFmtId="182" formatCode="_-* #,##0.0000_р_._-;\-* #,##0.0000_р_._-;_-* &quot;-&quot;??_р_._-;_-@_-"/>
    <numFmt numFmtId="183" formatCode="_-* #,##0.000_р_._-;\-* #,##0.000_р_._-;_-* &quot;-&quot;??_р_._-;_-@_-"/>
    <numFmt numFmtId="184" formatCode="_-* #,##0.0_р_._-;\-* #,##0.0_р_._-;_-* &quot;-&quot;??_р_._-;_-@_-"/>
    <numFmt numFmtId="185" formatCode="_-* #,##0_р_._-;\-* #,##0_р_._-;_-* &quot;-&quot;??_р_._-;_-@_-"/>
    <numFmt numFmtId="186" formatCode="0.000%"/>
    <numFmt numFmtId="187" formatCode="0.0000%"/>
    <numFmt numFmtId="188" formatCode="0.000"/>
    <numFmt numFmtId="189" formatCode="_-* #,##0.000000_р_._-;\-* #,##0.000000_р_._-;_-* &quot;-&quot;??_р_._-;_-@_-"/>
    <numFmt numFmtId="190" formatCode="0.0000"/>
    <numFmt numFmtId="191" formatCode="[$-FC19]d\ mmmm\ yyyy\ &quot;г.&quot;"/>
    <numFmt numFmtId="192" formatCode="#,##0.00000"/>
    <numFmt numFmtId="193" formatCode="#,##0.0000"/>
  </numFmts>
  <fonts count="61">
    <font>
      <sz val="14"/>
      <name val="Times New Roman"/>
      <family val="0"/>
    </font>
    <font>
      <sz val="12"/>
      <name val="Times New Roman"/>
      <family val="1"/>
    </font>
    <font>
      <sz val="10"/>
      <name val="Times New Roman"/>
      <family val="1"/>
    </font>
    <font>
      <sz val="8"/>
      <name val="Times New Roman"/>
      <family val="1"/>
    </font>
    <font>
      <b/>
      <sz val="12"/>
      <name val="Times New Roman"/>
      <family val="1"/>
    </font>
    <font>
      <u val="single"/>
      <sz val="14"/>
      <color indexed="12"/>
      <name val="Times New Roman"/>
      <family val="1"/>
    </font>
    <font>
      <u val="single"/>
      <sz val="14"/>
      <color indexed="36"/>
      <name val="Times New Roman"/>
      <family val="1"/>
    </font>
    <font>
      <b/>
      <sz val="14"/>
      <name val="Times New Roman"/>
      <family val="1"/>
    </font>
    <font>
      <i/>
      <sz val="11"/>
      <name val="Times New Roman"/>
      <family val="1"/>
    </font>
    <font>
      <b/>
      <sz val="16"/>
      <name val="Times New Roman"/>
      <family val="1"/>
    </font>
    <font>
      <sz val="11"/>
      <name val="Times New Roman"/>
      <family val="1"/>
    </font>
    <font>
      <b/>
      <sz val="11"/>
      <name val="Times New Roman"/>
      <family val="1"/>
    </font>
    <font>
      <i/>
      <sz val="10"/>
      <name val="Times New Roman"/>
      <family val="1"/>
    </font>
    <font>
      <i/>
      <sz val="9"/>
      <name val="Times New Roman"/>
      <family val="1"/>
    </font>
    <font>
      <b/>
      <i/>
      <sz val="14"/>
      <name val="Times New Roman"/>
      <family val="1"/>
    </font>
    <font>
      <b/>
      <i/>
      <sz val="12"/>
      <name val="Times New Roman"/>
      <family val="1"/>
    </font>
    <font>
      <i/>
      <sz val="12"/>
      <name val="Times New Roman"/>
      <family val="1"/>
    </font>
    <font>
      <b/>
      <i/>
      <sz val="16"/>
      <name val="Times New Roman"/>
      <family val="1"/>
    </font>
    <font>
      <b/>
      <u val="single"/>
      <sz val="11"/>
      <name val="Times New Roman"/>
      <family val="1"/>
    </font>
    <font>
      <b/>
      <i/>
      <sz val="11"/>
      <name val="Times New Roman"/>
      <family val="1"/>
    </font>
    <font>
      <sz val="10"/>
      <name val="Arial Cyr"/>
      <family val="0"/>
    </font>
    <font>
      <sz val="10"/>
      <color indexed="8"/>
      <name val="Times New Roman"/>
      <family val="1"/>
    </font>
    <font>
      <sz val="11"/>
      <name val="Calibri"/>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00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medium"/>
    </border>
    <border>
      <left style="thin"/>
      <right style="medium"/>
      <top style="thin"/>
      <bottom>
        <color indexed="63"/>
      </botto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style="thin"/>
      <top>
        <color indexed="63"/>
      </top>
      <bottom>
        <color indexed="63"/>
      </bottom>
    </border>
    <border>
      <left style="thin"/>
      <right style="thin"/>
      <top style="thin"/>
      <bottom style="thin"/>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color indexed="63"/>
      </bottom>
    </border>
    <border>
      <left style="thin"/>
      <right>
        <color indexed="63"/>
      </right>
      <top>
        <color indexed="63"/>
      </top>
      <bottom style="thin"/>
    </border>
    <border>
      <left style="thin"/>
      <right style="thin"/>
      <top>
        <color indexed="63"/>
      </top>
      <bottom style="medium"/>
    </border>
    <border>
      <left style="medium"/>
      <right style="thin"/>
      <top>
        <color indexed="63"/>
      </top>
      <bottom style="medium"/>
    </border>
    <border>
      <left>
        <color indexed="63"/>
      </left>
      <right style="thin"/>
      <top style="thin"/>
      <bottom>
        <color indexed="63"/>
      </botto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0" fillId="3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6" fillId="0" borderId="0" applyNumberForma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7" fillId="33" borderId="0" applyNumberFormat="0" applyBorder="0" applyAlignment="0" applyProtection="0"/>
  </cellStyleXfs>
  <cellXfs count="390">
    <xf numFmtId="0" fontId="0" fillId="0" borderId="0" xfId="0" applyAlignment="1">
      <alignment/>
    </xf>
    <xf numFmtId="0" fontId="1" fillId="0" borderId="0" xfId="0" applyFont="1" applyFill="1" applyAlignment="1">
      <alignment vertical="top" wrapText="1"/>
    </xf>
    <xf numFmtId="0" fontId="1" fillId="0" borderId="0" xfId="0" applyFont="1" applyFill="1" applyAlignment="1">
      <alignment wrapText="1"/>
    </xf>
    <xf numFmtId="0" fontId="7" fillId="0" borderId="0" xfId="0" applyFont="1" applyFill="1" applyAlignment="1">
      <alignment horizontal="center"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center" wrapText="1"/>
    </xf>
    <xf numFmtId="49" fontId="7" fillId="0" borderId="0" xfId="0" applyNumberFormat="1" applyFont="1" applyFill="1" applyAlignment="1">
      <alignment horizontal="center" wrapText="1"/>
    </xf>
    <xf numFmtId="49" fontId="4" fillId="0" borderId="0" xfId="0" applyNumberFormat="1" applyFont="1" applyFill="1" applyAlignment="1">
      <alignment horizontal="center" vertical="top" wrapText="1"/>
    </xf>
    <xf numFmtId="49" fontId="1" fillId="0" borderId="0" xfId="0" applyNumberFormat="1" applyFont="1" applyFill="1" applyAlignment="1">
      <alignment horizontal="center" vertical="top" wrapText="1"/>
    </xf>
    <xf numFmtId="49" fontId="1" fillId="0" borderId="10" xfId="0" applyNumberFormat="1" applyFont="1" applyFill="1" applyBorder="1" applyAlignment="1">
      <alignment horizontal="center" vertical="top" wrapText="1"/>
    </xf>
    <xf numFmtId="172" fontId="1" fillId="0" borderId="0" xfId="0" applyNumberFormat="1" applyFont="1" applyFill="1" applyAlignment="1">
      <alignment wrapText="1"/>
    </xf>
    <xf numFmtId="172" fontId="7" fillId="0" borderId="0" xfId="0" applyNumberFormat="1" applyFont="1" applyFill="1" applyBorder="1" applyAlignment="1">
      <alignment wrapText="1"/>
    </xf>
    <xf numFmtId="172" fontId="2" fillId="0" borderId="0" xfId="0" applyNumberFormat="1" applyFont="1" applyFill="1" applyAlignment="1">
      <alignment vertical="top" wrapText="1"/>
    </xf>
    <xf numFmtId="172" fontId="8" fillId="0" borderId="0" xfId="0" applyNumberFormat="1" applyFont="1" applyFill="1" applyBorder="1" applyAlignment="1">
      <alignment vertical="top" wrapText="1"/>
    </xf>
    <xf numFmtId="172" fontId="2" fillId="0" borderId="11" xfId="0" applyNumberFormat="1" applyFont="1" applyFill="1" applyBorder="1" applyAlignment="1">
      <alignment horizontal="center" vertical="top" wrapText="1"/>
    </xf>
    <xf numFmtId="172" fontId="7" fillId="0" borderId="0" xfId="0" applyNumberFormat="1" applyFont="1" applyFill="1" applyAlignment="1">
      <alignment wrapText="1"/>
    </xf>
    <xf numFmtId="172" fontId="4" fillId="0" borderId="0" xfId="0" applyNumberFormat="1" applyFont="1" applyFill="1" applyAlignment="1">
      <alignment vertical="top" wrapText="1"/>
    </xf>
    <xf numFmtId="9" fontId="8" fillId="0" borderId="0" xfId="0" applyNumberFormat="1" applyFont="1" applyFill="1" applyBorder="1" applyAlignment="1">
      <alignment vertical="top" wrapText="1"/>
    </xf>
    <xf numFmtId="9" fontId="12" fillId="0" borderId="0" xfId="0" applyNumberFormat="1" applyFont="1" applyFill="1" applyAlignment="1">
      <alignment vertical="top" wrapText="1"/>
    </xf>
    <xf numFmtId="9" fontId="13" fillId="0" borderId="12" xfId="0" applyNumberFormat="1" applyFont="1" applyFill="1" applyBorder="1" applyAlignment="1">
      <alignment horizontal="center" vertical="top" wrapText="1"/>
    </xf>
    <xf numFmtId="9" fontId="14" fillId="0" borderId="0" xfId="0" applyNumberFormat="1" applyFont="1" applyFill="1" applyBorder="1" applyAlignment="1">
      <alignment wrapText="1"/>
    </xf>
    <xf numFmtId="9" fontId="14" fillId="0" borderId="0" xfId="0" applyNumberFormat="1" applyFont="1" applyFill="1" applyAlignment="1">
      <alignment horizontal="center" wrapText="1"/>
    </xf>
    <xf numFmtId="9" fontId="15" fillId="0" borderId="0" xfId="0" applyNumberFormat="1" applyFont="1" applyFill="1" applyAlignment="1">
      <alignment horizontal="center" vertical="top" wrapText="1"/>
    </xf>
    <xf numFmtId="9" fontId="17" fillId="0" borderId="0" xfId="0" applyNumberFormat="1" applyFont="1" applyFill="1" applyAlignment="1">
      <alignment horizontal="center" vertical="top" wrapText="1"/>
    </xf>
    <xf numFmtId="9" fontId="4" fillId="0" borderId="0" xfId="0" applyNumberFormat="1" applyFont="1" applyFill="1" applyAlignment="1">
      <alignment horizontal="right" vertical="top"/>
    </xf>
    <xf numFmtId="0" fontId="8" fillId="0" borderId="13"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172" fontId="2" fillId="0" borderId="18" xfId="0" applyNumberFormat="1" applyFont="1" applyFill="1" applyBorder="1" applyAlignment="1">
      <alignment horizontal="center" vertical="top" wrapText="1"/>
    </xf>
    <xf numFmtId="172" fontId="2" fillId="0" borderId="19" xfId="0" applyNumberFormat="1" applyFont="1" applyFill="1" applyBorder="1" applyAlignment="1">
      <alignment horizontal="center" vertical="top" wrapText="1"/>
    </xf>
    <xf numFmtId="172" fontId="2" fillId="0" borderId="20"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1" fillId="0" borderId="0" xfId="0" applyFont="1" applyFill="1" applyAlignment="1">
      <alignment vertical="center" wrapText="1"/>
    </xf>
    <xf numFmtId="172" fontId="1" fillId="0" borderId="0" xfId="0" applyNumberFormat="1" applyFont="1" applyFill="1" applyAlignment="1">
      <alignment vertical="top" wrapText="1"/>
    </xf>
    <xf numFmtId="0" fontId="1" fillId="0" borderId="0" xfId="0" applyFont="1" applyFill="1" applyAlignment="1">
      <alignment horizontal="center" vertical="center" wrapText="1"/>
    </xf>
    <xf numFmtId="177" fontId="10" fillId="0" borderId="0" xfId="0" applyNumberFormat="1" applyFont="1" applyFill="1" applyBorder="1" applyAlignment="1">
      <alignment horizontal="right" vertical="top" wrapText="1"/>
    </xf>
    <xf numFmtId="10" fontId="14" fillId="0" borderId="0" xfId="0" applyNumberFormat="1" applyFont="1" applyFill="1" applyAlignment="1">
      <alignment horizontal="center" wrapText="1"/>
    </xf>
    <xf numFmtId="10" fontId="15" fillId="0" borderId="0" xfId="0" applyNumberFormat="1" applyFont="1" applyFill="1" applyAlignment="1">
      <alignment horizontal="center" vertical="top" wrapText="1"/>
    </xf>
    <xf numFmtId="10" fontId="16" fillId="0" borderId="0" xfId="0" applyNumberFormat="1" applyFont="1" applyFill="1" applyAlignment="1">
      <alignment horizontal="right" vertical="top"/>
    </xf>
    <xf numFmtId="10" fontId="12" fillId="0" borderId="0" xfId="0" applyNumberFormat="1" applyFont="1" applyFill="1" applyAlignment="1">
      <alignment vertical="top" wrapText="1"/>
    </xf>
    <xf numFmtId="0" fontId="10"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top" wrapText="1"/>
    </xf>
    <xf numFmtId="4" fontId="10" fillId="0" borderId="24" xfId="0" applyNumberFormat="1" applyFont="1" applyFill="1" applyBorder="1" applyAlignment="1">
      <alignment horizontal="center" vertical="center" wrapText="1"/>
    </xf>
    <xf numFmtId="4" fontId="10" fillId="0" borderId="25" xfId="0" applyNumberFormat="1" applyFont="1" applyFill="1" applyBorder="1" applyAlignment="1">
      <alignment horizontal="center" vertical="center" wrapText="1"/>
    </xf>
    <xf numFmtId="4" fontId="10" fillId="0" borderId="24" xfId="55" applyNumberFormat="1" applyFont="1" applyFill="1" applyBorder="1" applyAlignment="1">
      <alignment horizontal="center" vertical="center" wrapText="1"/>
      <protection/>
    </xf>
    <xf numFmtId="49" fontId="1" fillId="0" borderId="26" xfId="0" applyNumberFormat="1" applyFont="1" applyFill="1" applyBorder="1" applyAlignment="1">
      <alignment horizontal="center" vertical="center" wrapText="1"/>
    </xf>
    <xf numFmtId="177" fontId="4" fillId="0" borderId="13" xfId="64" applyNumberFormat="1" applyFont="1" applyFill="1" applyBorder="1" applyAlignment="1">
      <alignment horizontal="center" vertical="center" wrapText="1"/>
    </xf>
    <xf numFmtId="0" fontId="1" fillId="0" borderId="17" xfId="0" applyFont="1" applyFill="1" applyBorder="1" applyAlignment="1">
      <alignment vertical="top" wrapText="1"/>
    </xf>
    <xf numFmtId="49" fontId="1" fillId="0" borderId="15" xfId="0" applyNumberFormat="1" applyFont="1" applyFill="1" applyBorder="1" applyAlignment="1">
      <alignment vertical="top" wrapText="1"/>
    </xf>
    <xf numFmtId="49" fontId="1" fillId="0" borderId="13" xfId="0" applyNumberFormat="1" applyFont="1" applyFill="1" applyBorder="1" applyAlignment="1">
      <alignment vertical="top" wrapText="1"/>
    </xf>
    <xf numFmtId="4" fontId="4" fillId="0" borderId="16"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10" fillId="0" borderId="11" xfId="55" applyNumberFormat="1" applyFont="1" applyFill="1" applyBorder="1" applyAlignment="1">
      <alignment horizontal="center" vertical="center" wrapText="1"/>
      <protection/>
    </xf>
    <xf numFmtId="4" fontId="10" fillId="0" borderId="27"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9" fontId="1" fillId="0" borderId="28"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 fontId="10" fillId="0" borderId="33" xfId="55" applyNumberFormat="1" applyFont="1" applyFill="1" applyBorder="1" applyAlignment="1">
      <alignment horizontal="center" vertical="center" wrapText="1"/>
      <protection/>
    </xf>
    <xf numFmtId="4" fontId="10" fillId="0" borderId="12" xfId="55" applyNumberFormat="1" applyFont="1" applyFill="1" applyBorder="1" applyAlignment="1">
      <alignment horizontal="center" vertical="center" wrapText="1"/>
      <protection/>
    </xf>
    <xf numFmtId="4" fontId="11" fillId="0" borderId="25"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1" fillId="0" borderId="25" xfId="0" applyFont="1" applyFill="1" applyBorder="1" applyAlignment="1">
      <alignment vertical="top" wrapText="1"/>
    </xf>
    <xf numFmtId="49" fontId="1" fillId="0" borderId="24" xfId="0" applyNumberFormat="1" applyFont="1" applyFill="1" applyBorder="1" applyAlignment="1">
      <alignment vertical="top" wrapText="1"/>
    </xf>
    <xf numFmtId="49" fontId="4" fillId="0" borderId="30" xfId="0" applyNumberFormat="1" applyFont="1" applyFill="1" applyBorder="1" applyAlignment="1">
      <alignment horizontal="center" vertical="center"/>
    </xf>
    <xf numFmtId="4" fontId="18" fillId="0" borderId="24" xfId="0" applyNumberFormat="1" applyFont="1" applyFill="1" applyBorder="1" applyAlignment="1">
      <alignment horizontal="center" vertical="center" wrapText="1"/>
    </xf>
    <xf numFmtId="172" fontId="18" fillId="0" borderId="24" xfId="0" applyNumberFormat="1" applyFont="1" applyFill="1" applyBorder="1" applyAlignment="1">
      <alignment horizontal="center" vertical="center" wrapText="1"/>
    </xf>
    <xf numFmtId="172" fontId="18" fillId="0" borderId="30" xfId="0" applyNumberFormat="1" applyFont="1" applyFill="1" applyBorder="1" applyAlignment="1">
      <alignment horizontal="center" vertical="center" wrapText="1"/>
    </xf>
    <xf numFmtId="172" fontId="18" fillId="0" borderId="34" xfId="0" applyNumberFormat="1" applyFont="1" applyFill="1" applyBorder="1" applyAlignment="1">
      <alignment horizontal="center" vertical="center" wrapText="1"/>
    </xf>
    <xf numFmtId="172" fontId="18" fillId="0" borderId="25"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 fontId="10" fillId="0" borderId="33"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4" fontId="10" fillId="0" borderId="28" xfId="0" applyNumberFormat="1"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4" fontId="10" fillId="0" borderId="36" xfId="0" applyNumberFormat="1" applyFont="1" applyFill="1" applyBorder="1" applyAlignment="1">
      <alignment horizontal="center" vertical="center" wrapText="1"/>
    </xf>
    <xf numFmtId="4" fontId="10" fillId="0" borderId="34" xfId="0" applyNumberFormat="1" applyFont="1" applyFill="1" applyBorder="1" applyAlignment="1">
      <alignment horizontal="center" vertical="center" wrapText="1"/>
    </xf>
    <xf numFmtId="0" fontId="1" fillId="0" borderId="35" xfId="0" applyFont="1" applyFill="1" applyBorder="1" applyAlignment="1">
      <alignment horizontal="center" vertical="top" wrapText="1"/>
    </xf>
    <xf numFmtId="49" fontId="1" fillId="0" borderId="28" xfId="0" applyNumberFormat="1" applyFont="1" applyFill="1" applyBorder="1" applyAlignment="1">
      <alignment vertical="center" wrapText="1"/>
    </xf>
    <xf numFmtId="0" fontId="1" fillId="0" borderId="37" xfId="0" applyFont="1" applyFill="1" applyBorder="1" applyAlignment="1">
      <alignment horizontal="center" vertical="center" wrapText="1"/>
    </xf>
    <xf numFmtId="49" fontId="1" fillId="0" borderId="26" xfId="0" applyNumberFormat="1" applyFont="1" applyFill="1" applyBorder="1" applyAlignment="1">
      <alignment vertical="center" wrapText="1"/>
    </xf>
    <xf numFmtId="4" fontId="10" fillId="0" borderId="26" xfId="0" applyNumberFormat="1" applyFont="1" applyFill="1" applyBorder="1" applyAlignment="1">
      <alignment horizontal="center" vertical="center" wrapText="1"/>
    </xf>
    <xf numFmtId="4" fontId="10" fillId="0" borderId="37" xfId="0" applyNumberFormat="1" applyFont="1" applyFill="1" applyBorder="1" applyAlignment="1">
      <alignment horizontal="center" vertical="center" wrapText="1"/>
    </xf>
    <xf numFmtId="4" fontId="10" fillId="0" borderId="38" xfId="0" applyNumberFormat="1" applyFont="1" applyFill="1" applyBorder="1" applyAlignment="1">
      <alignment horizontal="center" vertical="center" wrapText="1"/>
    </xf>
    <xf numFmtId="0" fontId="1" fillId="0" borderId="39" xfId="0" applyFont="1" applyFill="1" applyBorder="1" applyAlignment="1">
      <alignment horizontal="center" vertical="top" wrapText="1"/>
    </xf>
    <xf numFmtId="49" fontId="1" fillId="0" borderId="4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4" fontId="10" fillId="0" borderId="40" xfId="0" applyNumberFormat="1" applyFont="1" applyFill="1" applyBorder="1" applyAlignment="1">
      <alignment horizontal="center" vertical="center" wrapText="1"/>
    </xf>
    <xf numFmtId="4" fontId="10" fillId="0" borderId="39" xfId="0" applyNumberFormat="1" applyFont="1" applyFill="1" applyBorder="1" applyAlignment="1">
      <alignment horizontal="center" vertical="center" wrapText="1"/>
    </xf>
    <xf numFmtId="4" fontId="10" fillId="0" borderId="41" xfId="0" applyNumberFormat="1" applyFont="1" applyFill="1" applyBorder="1" applyAlignment="1">
      <alignment horizontal="center" vertical="center" wrapText="1"/>
    </xf>
    <xf numFmtId="4" fontId="10" fillId="0" borderId="42"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8" xfId="59" applyFont="1" applyFill="1" applyBorder="1" applyAlignment="1">
      <alignment horizontal="center" vertical="center" wrapText="1"/>
      <protection/>
    </xf>
    <xf numFmtId="0" fontId="10" fillId="0" borderId="31" xfId="59" applyFont="1" applyFill="1" applyBorder="1" applyAlignment="1">
      <alignment horizontal="center" vertical="center" wrapText="1"/>
      <protection/>
    </xf>
    <xf numFmtId="4" fontId="10" fillId="0" borderId="35" xfId="59" applyNumberFormat="1" applyFont="1" applyFill="1" applyBorder="1" applyAlignment="1">
      <alignment horizontal="center" vertical="center" wrapText="1"/>
      <protection/>
    </xf>
    <xf numFmtId="4" fontId="10" fillId="0" borderId="28" xfId="59" applyNumberFormat="1" applyFont="1" applyFill="1" applyBorder="1" applyAlignment="1">
      <alignment horizontal="center" vertical="center" wrapText="1"/>
      <protection/>
    </xf>
    <xf numFmtId="0" fontId="10" fillId="0" borderId="43" xfId="59" applyFont="1" applyFill="1" applyBorder="1" applyAlignment="1">
      <alignment horizontal="center" vertical="center" wrapText="1"/>
      <protection/>
    </xf>
    <xf numFmtId="4" fontId="10" fillId="0" borderId="36" xfId="59" applyNumberFormat="1" applyFont="1" applyFill="1" applyBorder="1" applyAlignment="1">
      <alignment horizontal="center" vertical="center" wrapText="1"/>
      <protection/>
    </xf>
    <xf numFmtId="0" fontId="1" fillId="0" borderId="44" xfId="0" applyFont="1" applyFill="1" applyBorder="1" applyAlignment="1">
      <alignment horizontal="center" vertical="center" wrapText="1"/>
    </xf>
    <xf numFmtId="0" fontId="10" fillId="0" borderId="10" xfId="59" applyFont="1" applyFill="1" applyBorder="1" applyAlignment="1">
      <alignment horizontal="center" vertical="center" wrapText="1"/>
      <protection/>
    </xf>
    <xf numFmtId="4" fontId="10" fillId="0" borderId="33" xfId="59" applyNumberFormat="1" applyFont="1" applyFill="1" applyBorder="1" applyAlignment="1">
      <alignment horizontal="center" vertical="center" wrapText="1"/>
      <protection/>
    </xf>
    <xf numFmtId="4" fontId="10" fillId="0" borderId="11" xfId="59" applyNumberFormat="1" applyFont="1" applyFill="1" applyBorder="1" applyAlignment="1">
      <alignment horizontal="center" vertical="center" wrapText="1"/>
      <protection/>
    </xf>
    <xf numFmtId="4" fontId="10" fillId="0" borderId="27" xfId="59" applyNumberFormat="1" applyFont="1" applyFill="1" applyBorder="1" applyAlignment="1">
      <alignment horizontal="center" vertical="center" wrapText="1"/>
      <protection/>
    </xf>
    <xf numFmtId="0" fontId="10" fillId="0" borderId="35" xfId="0" applyFont="1" applyFill="1" applyBorder="1" applyAlignment="1">
      <alignment horizontal="center" vertical="center" wrapText="1"/>
    </xf>
    <xf numFmtId="4" fontId="10" fillId="0" borderId="36" xfId="55" applyNumberFormat="1" applyFont="1" applyFill="1" applyBorder="1" applyAlignment="1">
      <alignment horizontal="center" vertical="center" wrapText="1"/>
      <protection/>
    </xf>
    <xf numFmtId="4" fontId="10" fillId="0" borderId="28" xfId="55" applyNumberFormat="1" applyFont="1" applyFill="1" applyBorder="1" applyAlignment="1">
      <alignment horizontal="center" vertical="center" wrapText="1"/>
      <protection/>
    </xf>
    <xf numFmtId="4" fontId="10" fillId="0" borderId="35" xfId="55" applyNumberFormat="1" applyFont="1" applyFill="1" applyBorder="1" applyAlignment="1">
      <alignment horizontal="center" vertical="center" wrapText="1"/>
      <protection/>
    </xf>
    <xf numFmtId="4" fontId="10" fillId="0" borderId="34" xfId="55" applyNumberFormat="1" applyFont="1" applyFill="1" applyBorder="1" applyAlignment="1">
      <alignment horizontal="center" vertical="center" wrapText="1"/>
      <protection/>
    </xf>
    <xf numFmtId="4" fontId="10" fillId="0" borderId="25" xfId="55" applyNumberFormat="1" applyFont="1" applyFill="1" applyBorder="1" applyAlignment="1">
      <alignment horizontal="center" vertical="center" wrapText="1"/>
      <protection/>
    </xf>
    <xf numFmtId="0" fontId="1" fillId="0" borderId="27" xfId="0" applyFont="1" applyFill="1" applyBorder="1" applyAlignment="1">
      <alignment horizontal="center" vertical="center" wrapText="1"/>
    </xf>
    <xf numFmtId="0" fontId="10" fillId="0" borderId="11" xfId="59" applyFont="1" applyFill="1" applyBorder="1" applyAlignment="1">
      <alignment horizontal="center" vertical="center" wrapText="1"/>
      <protection/>
    </xf>
    <xf numFmtId="0" fontId="1" fillId="0" borderId="27" xfId="0" applyFont="1" applyFill="1" applyBorder="1" applyAlignment="1">
      <alignment horizontal="center" vertical="top" wrapText="1"/>
    </xf>
    <xf numFmtId="49" fontId="4" fillId="0" borderId="12"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58" fillId="0" borderId="36" xfId="56" applyNumberFormat="1" applyFont="1" applyFill="1" applyBorder="1" applyAlignment="1">
      <alignment horizontal="center" vertical="center"/>
      <protection/>
    </xf>
    <xf numFmtId="4" fontId="58" fillId="0" borderId="28" xfId="56" applyNumberFormat="1" applyFont="1" applyFill="1" applyBorder="1" applyAlignment="1">
      <alignment horizontal="center" vertical="center"/>
      <protection/>
    </xf>
    <xf numFmtId="4" fontId="58" fillId="0" borderId="35" xfId="56" applyNumberFormat="1" applyFont="1" applyFill="1" applyBorder="1" applyAlignment="1">
      <alignment horizontal="center" vertical="center"/>
      <protection/>
    </xf>
    <xf numFmtId="1" fontId="1" fillId="0" borderId="32" xfId="0" applyNumberFormat="1" applyFont="1" applyFill="1" applyBorder="1" applyAlignment="1">
      <alignment horizontal="center" vertical="center" wrapText="1"/>
    </xf>
    <xf numFmtId="4" fontId="10" fillId="0" borderId="37" xfId="55" applyNumberFormat="1" applyFont="1" applyFill="1" applyBorder="1" applyAlignment="1">
      <alignment horizontal="center" vertical="center" wrapText="1"/>
      <protection/>
    </xf>
    <xf numFmtId="4" fontId="10" fillId="0" borderId="26" xfId="55" applyNumberFormat="1" applyFont="1" applyFill="1" applyBorder="1" applyAlignment="1">
      <alignment horizontal="center" vertical="center" wrapText="1"/>
      <protection/>
    </xf>
    <xf numFmtId="4" fontId="58" fillId="0" borderId="26" xfId="56" applyNumberFormat="1" applyFont="1" applyFill="1" applyBorder="1" applyAlignment="1">
      <alignment horizontal="center" vertical="center"/>
      <protection/>
    </xf>
    <xf numFmtId="4" fontId="10" fillId="0" borderId="3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 fontId="10" fillId="0" borderId="30" xfId="55" applyNumberFormat="1" applyFont="1" applyFill="1" applyBorder="1" applyAlignment="1">
      <alignment horizontal="center" vertical="center" wrapText="1"/>
      <protection/>
    </xf>
    <xf numFmtId="0" fontId="10" fillId="0" borderId="27"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10" fillId="0" borderId="27" xfId="55" applyNumberFormat="1" applyFont="1" applyFill="1" applyBorder="1" applyAlignment="1">
      <alignment horizontal="center" vertical="center" wrapText="1"/>
      <protection/>
    </xf>
    <xf numFmtId="4" fontId="10" fillId="0" borderId="46" xfId="55" applyNumberFormat="1" applyFont="1" applyFill="1" applyBorder="1" applyAlignment="1">
      <alignment horizontal="center" vertical="center" wrapText="1"/>
      <protection/>
    </xf>
    <xf numFmtId="49" fontId="4" fillId="0" borderId="41"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 fontId="10" fillId="0" borderId="46"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4" fontId="10" fillId="0" borderId="27" xfId="68" applyNumberFormat="1" applyFont="1" applyFill="1" applyBorder="1" applyAlignment="1">
      <alignment horizontal="center" vertical="center" wrapText="1"/>
    </xf>
    <xf numFmtId="4" fontId="10" fillId="0" borderId="11" xfId="68" applyNumberFormat="1" applyFont="1" applyFill="1" applyBorder="1" applyAlignment="1">
      <alignment horizontal="center" vertical="center" wrapText="1"/>
    </xf>
    <xf numFmtId="4" fontId="10" fillId="0" borderId="33" xfId="68" applyNumberFormat="1" applyFont="1" applyFill="1" applyBorder="1" applyAlignment="1">
      <alignment horizontal="center" vertical="center" wrapText="1"/>
    </xf>
    <xf numFmtId="4" fontId="10" fillId="0" borderId="35" xfId="71" applyNumberFormat="1" applyFont="1" applyFill="1" applyBorder="1" applyAlignment="1">
      <alignment horizontal="center" vertical="center" wrapText="1"/>
    </xf>
    <xf numFmtId="4" fontId="10" fillId="0" borderId="28" xfId="71" applyNumberFormat="1" applyFont="1" applyFill="1" applyBorder="1" applyAlignment="1">
      <alignment horizontal="center" vertical="center" wrapText="1"/>
    </xf>
    <xf numFmtId="4" fontId="10" fillId="0" borderId="36" xfId="71"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4" fontId="10" fillId="0" borderId="39" xfId="71" applyNumberFormat="1" applyFont="1" applyFill="1" applyBorder="1" applyAlignment="1">
      <alignment horizontal="center" vertical="center" wrapText="1"/>
    </xf>
    <xf numFmtId="4" fontId="10" fillId="0" borderId="40" xfId="71" applyNumberFormat="1" applyFont="1" applyFill="1" applyBorder="1" applyAlignment="1">
      <alignment horizontal="center" vertical="center" wrapText="1"/>
    </xf>
    <xf numFmtId="4" fontId="10" fillId="0" borderId="41" xfId="71" applyNumberFormat="1" applyFont="1" applyFill="1" applyBorder="1" applyAlignment="1">
      <alignment horizontal="center" vertical="center" wrapText="1"/>
    </xf>
    <xf numFmtId="4" fontId="10" fillId="0" borderId="42" xfId="71"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0" fontId="1" fillId="0" borderId="25" xfId="0" applyFont="1" applyFill="1" applyBorder="1" applyAlignment="1">
      <alignment horizontal="center" vertical="top" wrapText="1"/>
    </xf>
    <xf numFmtId="4" fontId="11" fillId="0" borderId="24" xfId="0" applyNumberFormat="1" applyFont="1" applyFill="1" applyBorder="1" applyAlignment="1">
      <alignment horizontal="center" vertical="center" wrapText="1"/>
    </xf>
    <xf numFmtId="4" fontId="11" fillId="0" borderId="30" xfId="0" applyNumberFormat="1" applyFont="1" applyFill="1" applyBorder="1" applyAlignment="1">
      <alignment horizontal="center" vertical="center" wrapText="1"/>
    </xf>
    <xf numFmtId="4" fontId="11" fillId="0" borderId="34" xfId="0" applyNumberFormat="1" applyFont="1" applyFill="1" applyBorder="1" applyAlignment="1">
      <alignment horizontal="center" vertical="center" wrapText="1"/>
    </xf>
    <xf numFmtId="4" fontId="10" fillId="0" borderId="48" xfId="55" applyNumberFormat="1" applyFont="1" applyFill="1" applyBorder="1" applyAlignment="1">
      <alignment horizontal="center" vertical="center" wrapText="1"/>
      <protection/>
    </xf>
    <xf numFmtId="4" fontId="10" fillId="0" borderId="10" xfId="55" applyNumberFormat="1" applyFont="1" applyFill="1" applyBorder="1" applyAlignment="1">
      <alignment horizontal="center" vertical="center" wrapText="1"/>
      <protection/>
    </xf>
    <xf numFmtId="4" fontId="10" fillId="0" borderId="44" xfId="55" applyNumberFormat="1" applyFont="1" applyFill="1" applyBorder="1" applyAlignment="1">
      <alignment horizontal="center" vertical="center" wrapText="1"/>
      <protection/>
    </xf>
    <xf numFmtId="4" fontId="10" fillId="0" borderId="38" xfId="55" applyNumberFormat="1" applyFont="1" applyFill="1" applyBorder="1" applyAlignment="1">
      <alignment horizontal="center" vertical="center" wrapText="1"/>
      <protection/>
    </xf>
    <xf numFmtId="4" fontId="11" fillId="0" borderId="11" xfId="0" applyNumberFormat="1"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4" fontId="11" fillId="0" borderId="33" xfId="0" applyNumberFormat="1" applyFont="1" applyFill="1" applyBorder="1" applyAlignment="1">
      <alignment horizontal="center" vertical="center" wrapText="1"/>
    </xf>
    <xf numFmtId="4" fontId="10" fillId="0" borderId="35" xfId="0" applyNumberFormat="1" applyFont="1" applyFill="1" applyBorder="1" applyAlignment="1">
      <alignment horizontal="center" vertical="center"/>
    </xf>
    <xf numFmtId="4" fontId="10" fillId="0" borderId="28" xfId="0" applyNumberFormat="1" applyFont="1" applyFill="1" applyBorder="1" applyAlignment="1">
      <alignment horizontal="center" vertical="center"/>
    </xf>
    <xf numFmtId="4" fontId="10" fillId="0" borderId="36" xfId="0" applyNumberFormat="1" applyFont="1" applyFill="1" applyBorder="1" applyAlignment="1">
      <alignment horizontal="center" vertical="center"/>
    </xf>
    <xf numFmtId="4" fontId="10" fillId="0" borderId="26" xfId="55" applyNumberFormat="1" applyFont="1" applyFill="1" applyBorder="1" applyAlignment="1">
      <alignment horizontal="center" vertical="center"/>
      <protection/>
    </xf>
    <xf numFmtId="49" fontId="10" fillId="0" borderId="24" xfId="55" applyNumberFormat="1" applyFont="1" applyFill="1" applyBorder="1" applyAlignment="1">
      <alignment horizontal="center" vertical="center" wrapText="1"/>
      <protection/>
    </xf>
    <xf numFmtId="4" fontId="10" fillId="0" borderId="24" xfId="55" applyNumberFormat="1" applyFont="1" applyFill="1" applyBorder="1" applyAlignment="1">
      <alignment horizontal="center" vertical="center"/>
      <protection/>
    </xf>
    <xf numFmtId="177" fontId="11" fillId="0" borderId="30" xfId="64"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4" fontId="10" fillId="0" borderId="24" xfId="71" applyNumberFormat="1" applyFont="1" applyFill="1" applyBorder="1" applyAlignment="1">
      <alignment horizontal="center" vertical="center" wrapText="1"/>
    </xf>
    <xf numFmtId="4" fontId="10" fillId="0" borderId="11" xfId="71" applyNumberFormat="1" applyFont="1" applyFill="1" applyBorder="1" applyAlignment="1">
      <alignment horizontal="center" vertical="center" wrapText="1"/>
    </xf>
    <xf numFmtId="4" fontId="10" fillId="0" borderId="26" xfId="71" applyNumberFormat="1" applyFont="1" applyFill="1" applyBorder="1" applyAlignment="1">
      <alignment horizontal="center" vertical="center" wrapText="1"/>
    </xf>
    <xf numFmtId="49" fontId="1" fillId="0" borderId="40" xfId="0" applyNumberFormat="1" applyFont="1" applyFill="1" applyBorder="1" applyAlignment="1">
      <alignment horizontal="center" vertical="top" wrapText="1"/>
    </xf>
    <xf numFmtId="0" fontId="4" fillId="0" borderId="41"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1" fillId="0" borderId="32" xfId="64" applyNumberFormat="1" applyFont="1" applyFill="1" applyBorder="1" applyAlignment="1">
      <alignment horizontal="center" vertical="center" wrapText="1"/>
    </xf>
    <xf numFmtId="177" fontId="11" fillId="0" borderId="23" xfId="64" applyNumberFormat="1" applyFont="1" applyFill="1" applyBorder="1" applyAlignment="1">
      <alignment horizontal="center" vertical="center" wrapText="1"/>
    </xf>
    <xf numFmtId="4" fontId="10" fillId="0" borderId="10" xfId="71"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177" fontId="11" fillId="0" borderId="41" xfId="64" applyNumberFormat="1" applyFont="1" applyFill="1" applyBorder="1" applyAlignment="1">
      <alignment horizontal="center" vertical="center" wrapText="1"/>
    </xf>
    <xf numFmtId="4" fontId="10" fillId="0" borderId="26" xfId="59" applyNumberFormat="1" applyFont="1" applyFill="1" applyBorder="1" applyAlignment="1">
      <alignment horizontal="center" vertical="center" wrapText="1"/>
      <protection/>
    </xf>
    <xf numFmtId="4" fontId="10" fillId="0" borderId="38" xfId="59" applyNumberFormat="1" applyFont="1" applyFill="1" applyBorder="1" applyAlignment="1">
      <alignment horizontal="center" vertical="center" wrapText="1"/>
      <protection/>
    </xf>
    <xf numFmtId="4" fontId="10" fillId="0" borderId="37" xfId="59" applyNumberFormat="1" applyFont="1" applyFill="1" applyBorder="1" applyAlignment="1">
      <alignment horizontal="center" vertical="center" wrapText="1"/>
      <protection/>
    </xf>
    <xf numFmtId="0" fontId="1" fillId="0" borderId="46" xfId="59" applyFont="1" applyFill="1" applyBorder="1" applyAlignment="1">
      <alignment horizontal="center" vertical="center" wrapText="1"/>
      <protection/>
    </xf>
    <xf numFmtId="0" fontId="1" fillId="0" borderId="49" xfId="59" applyFont="1" applyFill="1" applyBorder="1" applyAlignment="1">
      <alignment horizontal="center" vertical="center" wrapText="1"/>
      <protection/>
    </xf>
    <xf numFmtId="49" fontId="4" fillId="0" borderId="30" xfId="0" applyNumberFormat="1" applyFont="1" applyFill="1" applyBorder="1" applyAlignment="1">
      <alignment horizontal="center" vertical="center" wrapText="1"/>
    </xf>
    <xf numFmtId="172" fontId="2" fillId="0" borderId="33" xfId="0" applyNumberFormat="1" applyFont="1" applyFill="1" applyBorder="1" applyAlignment="1">
      <alignment horizontal="center" vertical="top" wrapText="1"/>
    </xf>
    <xf numFmtId="0" fontId="10" fillId="0" borderId="19" xfId="0" applyNumberFormat="1" applyFont="1" applyFill="1" applyBorder="1" applyAlignment="1">
      <alignment horizontal="center" vertical="center" wrapText="1"/>
    </xf>
    <xf numFmtId="4" fontId="18" fillId="0" borderId="34" xfId="0" applyNumberFormat="1" applyFont="1" applyFill="1" applyBorder="1" applyAlignment="1">
      <alignment horizontal="center" vertical="center" wrapText="1"/>
    </xf>
    <xf numFmtId="4" fontId="19" fillId="0" borderId="33" xfId="0" applyNumberFormat="1" applyFont="1" applyFill="1" applyBorder="1" applyAlignment="1">
      <alignment horizontal="center" vertical="center" wrapText="1"/>
    </xf>
    <xf numFmtId="4" fontId="10" fillId="0" borderId="38" xfId="55" applyNumberFormat="1" applyFont="1" applyFill="1" applyBorder="1" applyAlignment="1">
      <alignment horizontal="center" vertical="center"/>
      <protection/>
    </xf>
    <xf numFmtId="4" fontId="10" fillId="0" borderId="34" xfId="55" applyNumberFormat="1" applyFont="1" applyFill="1" applyBorder="1" applyAlignment="1">
      <alignment horizontal="center" vertical="center"/>
      <protection/>
    </xf>
    <xf numFmtId="4" fontId="10" fillId="0" borderId="50" xfId="0" applyNumberFormat="1" applyFont="1" applyFill="1" applyBorder="1" applyAlignment="1">
      <alignment horizontal="center" vertical="center" wrapText="1"/>
    </xf>
    <xf numFmtId="9" fontId="13" fillId="0" borderId="21" xfId="0" applyNumberFormat="1" applyFont="1" applyFill="1" applyBorder="1" applyAlignment="1">
      <alignment horizontal="center" vertical="top" wrapText="1"/>
    </xf>
    <xf numFmtId="177" fontId="4" fillId="0" borderId="22" xfId="64" applyNumberFormat="1" applyFont="1" applyFill="1" applyBorder="1" applyAlignment="1">
      <alignment horizontal="center" vertical="center" wrapText="1"/>
    </xf>
    <xf numFmtId="177" fontId="11" fillId="0" borderId="12" xfId="64" applyNumberFormat="1" applyFont="1" applyFill="1" applyBorder="1" applyAlignment="1">
      <alignment horizontal="center" vertical="center" wrapText="1"/>
    </xf>
    <xf numFmtId="177" fontId="11" fillId="0" borderId="31" xfId="64" applyNumberFormat="1" applyFont="1" applyFill="1" applyBorder="1" applyAlignment="1">
      <alignment horizontal="center" vertical="center" wrapText="1"/>
    </xf>
    <xf numFmtId="177" fontId="11" fillId="0" borderId="51" xfId="64" applyNumberFormat="1" applyFont="1" applyFill="1" applyBorder="1" applyAlignment="1">
      <alignment horizontal="center" vertical="center" wrapText="1"/>
    </xf>
    <xf numFmtId="177" fontId="11" fillId="0" borderId="31" xfId="65"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58" fillId="0" borderId="38" xfId="56" applyNumberFormat="1" applyFont="1" applyFill="1" applyBorder="1" applyAlignment="1">
      <alignment horizontal="center" vertical="center"/>
      <protection/>
    </xf>
    <xf numFmtId="4" fontId="10" fillId="0" borderId="50" xfId="55" applyNumberFormat="1" applyFont="1" applyFill="1" applyBorder="1" applyAlignment="1">
      <alignment horizontal="center" vertical="center" wrapText="1"/>
      <protection/>
    </xf>
    <xf numFmtId="4" fontId="10" fillId="0" borderId="34" xfId="71" applyNumberFormat="1" applyFont="1" applyFill="1" applyBorder="1" applyAlignment="1">
      <alignment horizontal="center" vertical="center" wrapText="1"/>
    </xf>
    <xf numFmtId="4" fontId="10" fillId="0" borderId="38" xfId="71" applyNumberFormat="1" applyFont="1" applyFill="1" applyBorder="1" applyAlignment="1">
      <alignment horizontal="center" vertical="center" wrapText="1"/>
    </xf>
    <xf numFmtId="4" fontId="10" fillId="0" borderId="48" xfId="71" applyNumberFormat="1" applyFont="1" applyFill="1" applyBorder="1" applyAlignment="1">
      <alignment horizontal="center" vertical="center" wrapText="1"/>
    </xf>
    <xf numFmtId="10" fontId="13" fillId="0" borderId="21" xfId="0" applyNumberFormat="1" applyFont="1" applyFill="1" applyBorder="1" applyAlignment="1">
      <alignment horizontal="center" vertical="top" wrapText="1"/>
    </xf>
    <xf numFmtId="4" fontId="8" fillId="0" borderId="27" xfId="0" applyNumberFormat="1" applyFont="1" applyFill="1" applyBorder="1" applyAlignment="1">
      <alignment horizontal="center" vertical="center" wrapText="1"/>
    </xf>
    <xf numFmtId="4" fontId="10" fillId="0" borderId="44" xfId="0" applyNumberFormat="1" applyFont="1" applyFill="1" applyBorder="1" applyAlignment="1">
      <alignment horizontal="center" vertical="center" wrapText="1"/>
    </xf>
    <xf numFmtId="172" fontId="2" fillId="0" borderId="2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11" fillId="0" borderId="53" xfId="0" applyNumberFormat="1" applyFont="1" applyFill="1" applyBorder="1" applyAlignment="1">
      <alignment horizontal="left" vertical="top" wrapText="1"/>
    </xf>
    <xf numFmtId="4" fontId="4" fillId="0" borderId="25"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2" fillId="0" borderId="54" xfId="0" applyFont="1" applyFill="1" applyBorder="1" applyAlignment="1">
      <alignment horizontal="left" vertical="top" wrapText="1"/>
    </xf>
    <xf numFmtId="177" fontId="11" fillId="0" borderId="12" xfId="0" applyNumberFormat="1" applyFont="1" applyFill="1" applyBorder="1" applyAlignment="1">
      <alignment horizontal="center" vertical="center" wrapText="1"/>
    </xf>
    <xf numFmtId="0" fontId="2" fillId="0" borderId="55" xfId="0" applyFont="1" applyFill="1" applyBorder="1" applyAlignment="1">
      <alignment vertical="top" wrapText="1"/>
    </xf>
    <xf numFmtId="4" fontId="11" fillId="0" borderId="35" xfId="0" applyNumberFormat="1" applyFont="1" applyFill="1" applyBorder="1" applyAlignment="1">
      <alignment horizontal="center" vertical="center" wrapText="1"/>
    </xf>
    <xf numFmtId="177" fontId="11" fillId="0" borderId="31" xfId="0" applyNumberFormat="1" applyFont="1" applyFill="1" applyBorder="1" applyAlignment="1">
      <alignment horizontal="center" vertical="center" wrapText="1"/>
    </xf>
    <xf numFmtId="0" fontId="2" fillId="0" borderId="55" xfId="0" applyFont="1" applyFill="1" applyBorder="1" applyAlignment="1">
      <alignment horizontal="left" vertical="top" wrapText="1"/>
    </xf>
    <xf numFmtId="0" fontId="2" fillId="0" borderId="53" xfId="0" applyFont="1" applyFill="1" applyBorder="1" applyAlignment="1">
      <alignment vertical="top" wrapText="1"/>
    </xf>
    <xf numFmtId="177" fontId="11" fillId="0" borderId="30" xfId="0" applyNumberFormat="1" applyFont="1" applyFill="1" applyBorder="1" applyAlignment="1">
      <alignment horizontal="center" vertical="center" wrapText="1"/>
    </xf>
    <xf numFmtId="0" fontId="2" fillId="0" borderId="54" xfId="0" applyFont="1" applyFill="1" applyBorder="1" applyAlignment="1">
      <alignment vertical="top" wrapText="1"/>
    </xf>
    <xf numFmtId="0" fontId="59" fillId="0" borderId="55" xfId="0" applyFont="1" applyFill="1" applyBorder="1" applyAlignment="1">
      <alignment vertical="top" wrapText="1"/>
    </xf>
    <xf numFmtId="0" fontId="2" fillId="0" borderId="53" xfId="0" applyNumberFormat="1" applyFont="1" applyFill="1" applyBorder="1" applyAlignment="1">
      <alignment horizontal="left" vertical="top" wrapText="1"/>
    </xf>
    <xf numFmtId="0" fontId="60" fillId="0" borderId="55" xfId="0" applyFont="1" applyFill="1" applyBorder="1" applyAlignment="1">
      <alignment vertical="top" wrapText="1"/>
    </xf>
    <xf numFmtId="0" fontId="60" fillId="0" borderId="56" xfId="0" applyFont="1" applyFill="1" applyBorder="1" applyAlignment="1">
      <alignment vertical="top" wrapText="1"/>
    </xf>
    <xf numFmtId="4" fontId="11" fillId="0" borderId="37" xfId="0" applyNumberFormat="1" applyFont="1" applyFill="1" applyBorder="1" applyAlignment="1">
      <alignment horizontal="center" vertical="center" wrapText="1"/>
    </xf>
    <xf numFmtId="177" fontId="11" fillId="0" borderId="32"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 fillId="0" borderId="54" xfId="0" applyFont="1" applyFill="1" applyBorder="1" applyAlignment="1">
      <alignment horizontal="left" vertical="center" wrapText="1"/>
    </xf>
    <xf numFmtId="49" fontId="10" fillId="0" borderId="31" xfId="0" applyNumberFormat="1" applyFont="1" applyFill="1" applyBorder="1" applyAlignment="1" applyProtection="1">
      <alignment horizontal="center" vertical="center" wrapText="1"/>
      <protection hidden="1" locked="0"/>
    </xf>
    <xf numFmtId="0" fontId="2" fillId="0" borderId="55" xfId="0" applyFont="1" applyFill="1" applyBorder="1" applyAlignment="1">
      <alignment horizontal="left" vertical="center" wrapText="1"/>
    </xf>
    <xf numFmtId="0" fontId="2" fillId="0" borderId="55" xfId="59" applyFont="1" applyFill="1" applyBorder="1" applyAlignment="1">
      <alignment horizontal="left" vertical="center" wrapText="1"/>
      <protection/>
    </xf>
    <xf numFmtId="0" fontId="2" fillId="0" borderId="55" xfId="59" applyFont="1" applyFill="1" applyBorder="1" applyAlignment="1">
      <alignment horizontal="left" vertical="top" wrapText="1"/>
      <protection/>
    </xf>
    <xf numFmtId="0" fontId="10" fillId="0" borderId="57" xfId="59" applyFont="1" applyFill="1" applyBorder="1" applyAlignment="1">
      <alignment horizontal="center" vertical="center" wrapText="1"/>
      <protection/>
    </xf>
    <xf numFmtId="0" fontId="2" fillId="0" borderId="58" xfId="59" applyFont="1" applyFill="1" applyBorder="1" applyAlignment="1">
      <alignment horizontal="left" vertical="center" wrapText="1"/>
      <protection/>
    </xf>
    <xf numFmtId="4" fontId="11" fillId="0" borderId="44" xfId="0" applyNumberFormat="1" applyFont="1" applyFill="1" applyBorder="1" applyAlignment="1">
      <alignment horizontal="center" vertical="center" wrapText="1"/>
    </xf>
    <xf numFmtId="177" fontId="11" fillId="0" borderId="23"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0" fontId="10" fillId="0" borderId="55" xfId="0" applyFont="1" applyFill="1" applyBorder="1" applyAlignment="1">
      <alignment horizontal="left" vertical="top" wrapText="1"/>
    </xf>
    <xf numFmtId="0" fontId="10" fillId="0" borderId="55" xfId="0" applyNumberFormat="1" applyFont="1" applyFill="1" applyBorder="1" applyAlignment="1">
      <alignment horizontal="justify" vertical="top" wrapText="1"/>
    </xf>
    <xf numFmtId="4" fontId="22" fillId="0" borderId="0" xfId="59" applyNumberFormat="1" applyFont="1" applyFill="1" applyBorder="1" applyAlignment="1">
      <alignment horizontal="center" vertical="center"/>
      <protection/>
    </xf>
    <xf numFmtId="0" fontId="10" fillId="0" borderId="53" xfId="0" applyFont="1" applyFill="1" applyBorder="1" applyAlignment="1">
      <alignment horizontal="left" vertical="top" wrapText="1"/>
    </xf>
    <xf numFmtId="177" fontId="11" fillId="0" borderId="51" xfId="0" applyNumberFormat="1" applyFont="1" applyFill="1" applyBorder="1" applyAlignment="1">
      <alignment horizontal="center" vertical="center" wrapText="1"/>
    </xf>
    <xf numFmtId="0" fontId="11" fillId="0" borderId="59" xfId="0" applyFont="1" applyFill="1" applyBorder="1" applyAlignment="1">
      <alignment horizontal="left" vertical="top" wrapText="1"/>
    </xf>
    <xf numFmtId="4" fontId="11" fillId="0" borderId="39" xfId="0" applyNumberFormat="1" applyFont="1" applyFill="1" applyBorder="1" applyAlignment="1">
      <alignment horizontal="center" vertical="center" wrapText="1"/>
    </xf>
    <xf numFmtId="4" fontId="18" fillId="0" borderId="40" xfId="0" applyNumberFormat="1" applyFont="1" applyFill="1" applyBorder="1" applyAlignment="1">
      <alignment horizontal="center" vertical="center" wrapText="1"/>
    </xf>
    <xf numFmtId="177" fontId="11" fillId="0" borderId="41" xfId="0" applyNumberFormat="1" applyFont="1" applyFill="1" applyBorder="1" applyAlignment="1">
      <alignment horizontal="center" vertical="center" wrapText="1"/>
    </xf>
    <xf numFmtId="0" fontId="10" fillId="0" borderId="55" xfId="0" applyNumberFormat="1" applyFont="1" applyFill="1" applyBorder="1" applyAlignment="1">
      <alignment horizontal="left" vertical="center" wrapText="1"/>
    </xf>
    <xf numFmtId="4" fontId="10" fillId="0" borderId="24" xfId="59" applyNumberFormat="1" applyFont="1" applyFill="1" applyBorder="1" applyAlignment="1">
      <alignment horizontal="center" vertical="center" wrapText="1"/>
      <protection/>
    </xf>
    <xf numFmtId="0" fontId="1" fillId="0" borderId="55" xfId="0" applyFont="1" applyFill="1" applyBorder="1" applyAlignment="1">
      <alignment vertical="top" wrapText="1"/>
    </xf>
    <xf numFmtId="0" fontId="1" fillId="0" borderId="56" xfId="0" applyFont="1" applyFill="1" applyBorder="1" applyAlignment="1">
      <alignment vertical="top" wrapText="1"/>
    </xf>
    <xf numFmtId="0" fontId="11" fillId="0" borderId="54" xfId="0" applyFont="1" applyFill="1" applyBorder="1" applyAlignment="1">
      <alignment horizontal="left" vertical="center" wrapText="1"/>
    </xf>
    <xf numFmtId="4" fontId="19" fillId="0" borderId="24" xfId="0" applyNumberFormat="1" applyFont="1" applyFill="1" applyBorder="1" applyAlignment="1">
      <alignment horizontal="center" vertical="center" wrapText="1"/>
    </xf>
    <xf numFmtId="0" fontId="10" fillId="0" borderId="56"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0" fillId="0" borderId="53" xfId="0" applyFont="1" applyFill="1" applyBorder="1" applyAlignment="1">
      <alignment vertical="top" wrapText="1"/>
    </xf>
    <xf numFmtId="0" fontId="10" fillId="0" borderId="55" xfId="0" applyFont="1" applyFill="1" applyBorder="1" applyAlignment="1">
      <alignment vertical="top" wrapText="1"/>
    </xf>
    <xf numFmtId="0" fontId="10" fillId="0" borderId="60" xfId="0" applyFont="1" applyFill="1" applyBorder="1" applyAlignment="1">
      <alignment horizontal="left" vertical="top" wrapText="1"/>
    </xf>
    <xf numFmtId="0" fontId="10" fillId="0" borderId="61"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0" fontId="10" fillId="0" borderId="54" xfId="0" applyFont="1" applyFill="1" applyBorder="1" applyAlignment="1">
      <alignment vertical="top" wrapText="1"/>
    </xf>
    <xf numFmtId="0" fontId="10" fillId="0" borderId="62" xfId="0" applyFont="1" applyFill="1" applyBorder="1" applyAlignment="1">
      <alignment horizontal="left" vertical="top" wrapText="1"/>
    </xf>
    <xf numFmtId="0" fontId="11" fillId="0" borderId="59" xfId="0" applyFont="1" applyFill="1" applyBorder="1" applyAlignment="1">
      <alignment horizontal="left" vertical="center" wrapText="1"/>
    </xf>
    <xf numFmtId="49" fontId="10" fillId="0" borderId="30" xfId="0" applyNumberFormat="1" applyFont="1" applyFill="1" applyBorder="1" applyAlignment="1">
      <alignment horizontal="center" vertical="center" wrapText="1"/>
    </xf>
    <xf numFmtId="4" fontId="10" fillId="0" borderId="36" xfId="68" applyNumberFormat="1" applyFont="1" applyFill="1" applyBorder="1" applyAlignment="1">
      <alignment horizontal="center" vertical="center" wrapText="1"/>
    </xf>
    <xf numFmtId="4" fontId="10" fillId="0" borderId="28" xfId="68" applyNumberFormat="1" applyFont="1" applyFill="1" applyBorder="1" applyAlignment="1">
      <alignment horizontal="center" vertical="center" wrapText="1"/>
    </xf>
    <xf numFmtId="4" fontId="10" fillId="0" borderId="10" xfId="68"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0" fontId="10" fillId="0" borderId="58" xfId="0" applyFont="1" applyFill="1" applyBorder="1" applyAlignment="1">
      <alignment horizontal="left" vertical="top" wrapText="1"/>
    </xf>
    <xf numFmtId="4" fontId="10" fillId="0" borderId="10"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0" fontId="11" fillId="0" borderId="53" xfId="0" applyFont="1" applyFill="1" applyBorder="1" applyAlignment="1">
      <alignment horizontal="left" vertical="top" wrapText="1"/>
    </xf>
    <xf numFmtId="0" fontId="10" fillId="0" borderId="53" xfId="0" applyNumberFormat="1" applyFont="1" applyFill="1" applyBorder="1" applyAlignment="1">
      <alignment horizontal="justify" vertical="top" wrapText="1"/>
    </xf>
    <xf numFmtId="0" fontId="10" fillId="0" borderId="54" xfId="0" applyNumberFormat="1"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0" fontId="10" fillId="0" borderId="58" xfId="0" applyNumberFormat="1" applyFont="1" applyFill="1" applyBorder="1" applyAlignment="1">
      <alignment horizontal="justify" vertical="top" wrapText="1"/>
    </xf>
    <xf numFmtId="0" fontId="10" fillId="0" borderId="58" xfId="0" applyNumberFormat="1" applyFont="1" applyFill="1" applyBorder="1" applyAlignment="1">
      <alignment horizontal="justify" vertical="center" wrapText="1"/>
    </xf>
    <xf numFmtId="0" fontId="10" fillId="0" borderId="39" xfId="0" applyFont="1" applyFill="1" applyBorder="1" applyAlignment="1">
      <alignment horizontal="center" vertical="top" wrapText="1"/>
    </xf>
    <xf numFmtId="4" fontId="11" fillId="0" borderId="18"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177" fontId="11" fillId="0" borderId="21"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177" fontId="11" fillId="0" borderId="21" xfId="64" applyNumberFormat="1" applyFont="1" applyFill="1" applyBorder="1" applyAlignment="1">
      <alignment horizontal="center" vertical="center" wrapText="1"/>
    </xf>
    <xf numFmtId="4" fontId="11" fillId="0" borderId="21"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4" fontId="10" fillId="0" borderId="20" xfId="0" applyNumberFormat="1" applyFont="1" applyFill="1" applyBorder="1" applyAlignment="1">
      <alignment horizontal="center" vertical="center" wrapText="1"/>
    </xf>
    <xf numFmtId="4" fontId="10" fillId="0" borderId="21" xfId="0" applyNumberFormat="1" applyFont="1" applyFill="1" applyBorder="1" applyAlignment="1">
      <alignment horizontal="center" vertical="center" wrapText="1"/>
    </xf>
    <xf numFmtId="0" fontId="58" fillId="0" borderId="55" xfId="0" applyFont="1" applyFill="1" applyBorder="1" applyAlignment="1">
      <alignment vertical="center" wrapText="1"/>
    </xf>
    <xf numFmtId="0" fontId="58" fillId="0" borderId="55" xfId="0" applyFont="1" applyFill="1" applyBorder="1" applyAlignment="1">
      <alignment wrapText="1"/>
    </xf>
    <xf numFmtId="0" fontId="58" fillId="0" borderId="54" xfId="0" applyFont="1" applyFill="1" applyBorder="1" applyAlignment="1">
      <alignment vertical="top" wrapText="1"/>
    </xf>
    <xf numFmtId="0" fontId="58" fillId="0" borderId="55" xfId="0" applyFont="1" applyFill="1" applyBorder="1" applyAlignment="1">
      <alignment vertical="top" wrapText="1"/>
    </xf>
    <xf numFmtId="49" fontId="10" fillId="0" borderId="28" xfId="55" applyNumberFormat="1" applyFont="1" applyFill="1" applyBorder="1" applyAlignment="1">
      <alignment horizontal="center" vertical="center" wrapText="1"/>
      <protection/>
    </xf>
    <xf numFmtId="49" fontId="10" fillId="0" borderId="31" xfId="55" applyNumberFormat="1" applyFont="1" applyFill="1" applyBorder="1" applyAlignment="1">
      <alignment horizontal="center" vertical="center" wrapText="1"/>
      <protection/>
    </xf>
    <xf numFmtId="0" fontId="10" fillId="0" borderId="55" xfId="55" applyFont="1" applyFill="1" applyBorder="1" applyAlignment="1">
      <alignment horizontal="left" vertical="top" wrapText="1"/>
      <protection/>
    </xf>
    <xf numFmtId="0" fontId="10" fillId="0" borderId="56" xfId="0" applyFont="1" applyFill="1" applyBorder="1" applyAlignment="1">
      <alignment vertical="top" wrapText="1"/>
    </xf>
    <xf numFmtId="49" fontId="10" fillId="0" borderId="26" xfId="0" applyNumberFormat="1" applyFont="1" applyFill="1" applyBorder="1" applyAlignment="1">
      <alignment horizontal="center" vertical="center" wrapText="1"/>
    </xf>
    <xf numFmtId="2" fontId="10" fillId="0" borderId="32" xfId="0" applyNumberFormat="1" applyFont="1" applyFill="1" applyBorder="1" applyAlignment="1">
      <alignment horizontal="center" vertical="center" wrapText="1"/>
    </xf>
    <xf numFmtId="0" fontId="2" fillId="0" borderId="56" xfId="0" applyFont="1" applyFill="1" applyBorder="1" applyAlignment="1">
      <alignment horizontal="left" vertical="center" wrapText="1"/>
    </xf>
    <xf numFmtId="0" fontId="11" fillId="0" borderId="54" xfId="0" applyFont="1" applyFill="1" applyBorder="1" applyAlignment="1">
      <alignment horizontal="left" vertical="top" wrapText="1"/>
    </xf>
    <xf numFmtId="1" fontId="1" fillId="0" borderId="31" xfId="0" applyNumberFormat="1" applyFont="1" applyFill="1" applyBorder="1" applyAlignment="1">
      <alignment horizontal="center" vertical="center" wrapText="1"/>
    </xf>
    <xf numFmtId="1" fontId="1" fillId="0" borderId="30" xfId="0" applyNumberFormat="1" applyFont="1" applyFill="1" applyBorder="1" applyAlignment="1">
      <alignment horizontal="center" vertical="center" wrapText="1"/>
    </xf>
    <xf numFmtId="0" fontId="10" fillId="0" borderId="53" xfId="0" applyNumberFormat="1" applyFont="1" applyFill="1" applyBorder="1" applyAlignment="1">
      <alignment horizontal="left" vertical="top" wrapText="1"/>
    </xf>
    <xf numFmtId="0" fontId="10" fillId="0" borderId="55" xfId="0" applyNumberFormat="1" applyFont="1" applyFill="1" applyBorder="1" applyAlignment="1">
      <alignment horizontal="left" vertical="top" wrapText="1"/>
    </xf>
    <xf numFmtId="1" fontId="1" fillId="0" borderId="23" xfId="0" applyNumberFormat="1" applyFont="1" applyFill="1" applyBorder="1" applyAlignment="1">
      <alignment horizontal="center" vertical="center" wrapText="1"/>
    </xf>
    <xf numFmtId="0" fontId="10" fillId="0" borderId="58" xfId="0" applyNumberFormat="1" applyFont="1" applyFill="1" applyBorder="1" applyAlignment="1">
      <alignment horizontal="left" vertical="top" wrapText="1"/>
    </xf>
    <xf numFmtId="1" fontId="1" fillId="0" borderId="32" xfId="0" applyNumberFormat="1" applyFont="1" applyFill="1" applyBorder="1" applyAlignment="1">
      <alignment horizontal="center" vertical="top" wrapText="1"/>
    </xf>
    <xf numFmtId="0" fontId="10" fillId="0" borderId="56" xfId="0" applyNumberFormat="1" applyFont="1" applyFill="1" applyBorder="1" applyAlignment="1">
      <alignment horizontal="left" vertical="top" wrapText="1"/>
    </xf>
    <xf numFmtId="1" fontId="1" fillId="0" borderId="51" xfId="0" applyNumberFormat="1" applyFont="1" applyFill="1" applyBorder="1" applyAlignment="1">
      <alignment horizontal="center" vertical="center" wrapText="1"/>
    </xf>
    <xf numFmtId="0" fontId="10" fillId="0" borderId="62" xfId="0" applyNumberFormat="1" applyFont="1" applyFill="1" applyBorder="1" applyAlignment="1">
      <alignment horizontal="left" vertical="top" wrapText="1"/>
    </xf>
    <xf numFmtId="4" fontId="11" fillId="0" borderId="47" xfId="0" applyNumberFormat="1" applyFont="1" applyFill="1" applyBorder="1" applyAlignment="1">
      <alignment horizontal="center" vertical="center" wrapText="1"/>
    </xf>
    <xf numFmtId="4" fontId="10" fillId="0" borderId="47" xfId="55" applyNumberFormat="1" applyFont="1" applyFill="1" applyBorder="1" applyAlignment="1">
      <alignment horizontal="center" vertical="center" wrapText="1"/>
      <protection/>
    </xf>
    <xf numFmtId="0" fontId="59" fillId="0" borderId="53" xfId="0" applyFont="1" applyFill="1" applyBorder="1" applyAlignment="1">
      <alignment vertical="top" wrapText="1"/>
    </xf>
    <xf numFmtId="177" fontId="4" fillId="0" borderId="41" xfId="64" applyNumberFormat="1" applyFont="1" applyFill="1" applyBorder="1" applyAlignment="1">
      <alignment horizontal="center" vertical="center" wrapText="1"/>
    </xf>
    <xf numFmtId="177" fontId="11" fillId="0" borderId="63" xfId="64" applyNumberFormat="1" applyFont="1" applyFill="1" applyBorder="1" applyAlignment="1">
      <alignment horizontal="center" vertical="center" wrapText="1"/>
    </xf>
    <xf numFmtId="177" fontId="11" fillId="0" borderId="43" xfId="64" applyNumberFormat="1" applyFont="1" applyFill="1" applyBorder="1" applyAlignment="1">
      <alignment horizontal="center" vertical="center" wrapText="1"/>
    </xf>
    <xf numFmtId="177" fontId="11" fillId="0" borderId="64" xfId="64" applyNumberFormat="1" applyFont="1" applyFill="1" applyBorder="1" applyAlignment="1">
      <alignment horizontal="center" vertical="center" wrapText="1"/>
    </xf>
    <xf numFmtId="177" fontId="11" fillId="0" borderId="49" xfId="64" applyNumberFormat="1" applyFont="1" applyFill="1" applyBorder="1" applyAlignment="1">
      <alignment horizontal="center" vertical="center" wrapText="1"/>
    </xf>
    <xf numFmtId="177" fontId="11" fillId="0" borderId="65" xfId="64" applyNumberFormat="1" applyFont="1" applyFill="1" applyBorder="1" applyAlignment="1">
      <alignment horizontal="center" vertical="center" wrapText="1"/>
    </xf>
    <xf numFmtId="2" fontId="10" fillId="0" borderId="34" xfId="0" applyNumberFormat="1" applyFont="1" applyFill="1" applyBorder="1" applyAlignment="1">
      <alignment horizontal="center" vertical="center"/>
    </xf>
    <xf numFmtId="2" fontId="23" fillId="0" borderId="24" xfId="59" applyNumberFormat="1" applyFont="1" applyFill="1" applyBorder="1" applyAlignment="1">
      <alignment horizontal="center" vertical="center" wrapText="1"/>
      <protection/>
    </xf>
    <xf numFmtId="2" fontId="10" fillId="0" borderId="36" xfId="0" applyNumberFormat="1" applyFont="1" applyFill="1" applyBorder="1" applyAlignment="1">
      <alignment horizontal="center" vertical="center"/>
    </xf>
    <xf numFmtId="2" fontId="23" fillId="0" borderId="28" xfId="59" applyNumberFormat="1" applyFont="1" applyFill="1" applyBorder="1" applyAlignment="1">
      <alignment horizontal="center" vertical="center" wrapText="1"/>
      <protection/>
    </xf>
    <xf numFmtId="2" fontId="10" fillId="0" borderId="38" xfId="0" applyNumberFormat="1" applyFont="1" applyFill="1" applyBorder="1" applyAlignment="1">
      <alignment horizontal="center" vertical="center"/>
    </xf>
    <xf numFmtId="2" fontId="23" fillId="0" borderId="26" xfId="59" applyNumberFormat="1" applyFont="1" applyFill="1" applyBorder="1" applyAlignment="1">
      <alignment horizontal="center" vertical="center" wrapText="1"/>
      <protection/>
    </xf>
    <xf numFmtId="177" fontId="11" fillId="0" borderId="66" xfId="64"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xf>
    <xf numFmtId="2" fontId="23" fillId="0" borderId="36"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xf>
    <xf numFmtId="2" fontId="10" fillId="0" borderId="35" xfId="0" applyNumberFormat="1" applyFont="1" applyFill="1" applyBorder="1" applyAlignment="1">
      <alignment horizontal="center" vertical="center" wrapText="1"/>
    </xf>
    <xf numFmtId="2" fontId="10" fillId="0" borderId="28" xfId="59" applyNumberFormat="1" applyFont="1" applyFill="1" applyBorder="1" applyAlignment="1">
      <alignment horizontal="center" vertical="center" wrapText="1"/>
      <protection/>
    </xf>
    <xf numFmtId="4" fontId="23" fillId="0" borderId="36" xfId="56" applyNumberFormat="1" applyFont="1" applyFill="1" applyBorder="1" applyAlignment="1">
      <alignment horizontal="center" vertical="center"/>
      <protection/>
    </xf>
    <xf numFmtId="4" fontId="23" fillId="0" borderId="28" xfId="56" applyNumberFormat="1" applyFont="1" applyFill="1" applyBorder="1" applyAlignment="1">
      <alignment horizontal="center" vertical="center"/>
      <protection/>
    </xf>
    <xf numFmtId="177" fontId="11" fillId="0" borderId="22" xfId="64" applyNumberFormat="1" applyFont="1" applyFill="1" applyBorder="1" applyAlignment="1">
      <alignment horizontal="center" vertical="center" wrapText="1"/>
    </xf>
    <xf numFmtId="4" fontId="23" fillId="0" borderId="28" xfId="56" applyNumberFormat="1" applyFont="1" applyFill="1" applyBorder="1" applyAlignment="1">
      <alignment horizontal="center" vertical="center" wrapText="1"/>
      <protection/>
    </xf>
    <xf numFmtId="4" fontId="10" fillId="0" borderId="0" xfId="0" applyNumberFormat="1" applyFont="1" applyFill="1" applyBorder="1" applyAlignment="1">
      <alignment horizontal="center" vertical="center"/>
    </xf>
    <xf numFmtId="4" fontId="23" fillId="0" borderId="36" xfId="59" applyNumberFormat="1" applyFont="1" applyFill="1" applyBorder="1" applyAlignment="1">
      <alignment horizontal="center" vertical="center" wrapText="1"/>
      <protection/>
    </xf>
    <xf numFmtId="4" fontId="23" fillId="0" borderId="28" xfId="59" applyNumberFormat="1" applyFont="1" applyFill="1" applyBorder="1" applyAlignment="1">
      <alignment horizontal="center" vertical="center" wrapText="1"/>
      <protection/>
    </xf>
    <xf numFmtId="10" fontId="23" fillId="0" borderId="30" xfId="59" applyNumberFormat="1" applyFont="1" applyFill="1" applyBorder="1" applyAlignment="1">
      <alignment horizontal="center" vertical="center" wrapText="1"/>
      <protection/>
    </xf>
    <xf numFmtId="177" fontId="11" fillId="0" borderId="57" xfId="64" applyNumberFormat="1" applyFont="1" applyFill="1" applyBorder="1" applyAlignment="1">
      <alignment horizontal="center" vertical="center" wrapText="1"/>
    </xf>
    <xf numFmtId="4" fontId="23" fillId="0" borderId="38" xfId="59" applyNumberFormat="1" applyFont="1" applyFill="1" applyBorder="1" applyAlignment="1">
      <alignment horizontal="center" vertical="center" wrapText="1"/>
      <protection/>
    </xf>
    <xf numFmtId="4" fontId="23" fillId="0" borderId="26" xfId="59" applyNumberFormat="1" applyFont="1" applyFill="1" applyBorder="1" applyAlignment="1">
      <alignment horizontal="center" vertical="center" wrapText="1"/>
      <protection/>
    </xf>
    <xf numFmtId="4" fontId="23" fillId="0" borderId="37" xfId="59" applyNumberFormat="1" applyFont="1" applyFill="1" applyBorder="1" applyAlignment="1">
      <alignment horizontal="center" vertical="center" wrapText="1"/>
      <protection/>
    </xf>
    <xf numFmtId="0" fontId="4" fillId="0" borderId="67" xfId="0" applyFont="1" applyFill="1" applyBorder="1" applyAlignment="1">
      <alignment horizontal="center" vertical="top" wrapText="1"/>
    </xf>
    <xf numFmtId="0" fontId="4" fillId="0" borderId="54"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5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4" fillId="0" borderId="68" xfId="0" applyFont="1" applyFill="1" applyBorder="1" applyAlignment="1">
      <alignment horizontal="center" vertical="top" wrapText="1"/>
    </xf>
    <xf numFmtId="0" fontId="4" fillId="0" borderId="69" xfId="0" applyFont="1" applyFill="1" applyBorder="1" applyAlignment="1">
      <alignment horizontal="center" vertical="top" wrapText="1"/>
    </xf>
    <xf numFmtId="0" fontId="4" fillId="0" borderId="62" xfId="0" applyFont="1" applyFill="1" applyBorder="1" applyAlignment="1">
      <alignment horizontal="center" vertical="top" wrapText="1"/>
    </xf>
    <xf numFmtId="0" fontId="4" fillId="0" borderId="70" xfId="0" applyFont="1" applyFill="1" applyBorder="1" applyAlignment="1">
      <alignment horizontal="center" vertical="top" wrapText="1"/>
    </xf>
    <xf numFmtId="0" fontId="4" fillId="0" borderId="49" xfId="0" applyFont="1" applyFill="1" applyBorder="1" applyAlignment="1">
      <alignment horizontal="center" vertical="top" wrapText="1"/>
    </xf>
    <xf numFmtId="0" fontId="7" fillId="0" borderId="54" xfId="0" applyFont="1" applyFill="1" applyBorder="1" applyAlignment="1">
      <alignment/>
    </xf>
    <xf numFmtId="49" fontId="11" fillId="0" borderId="40" xfId="0" applyNumberFormat="1" applyFont="1" applyFill="1" applyBorder="1" applyAlignment="1">
      <alignment horizontal="center" vertical="top" wrapText="1"/>
    </xf>
    <xf numFmtId="49" fontId="11" fillId="0" borderId="41" xfId="0" applyNumberFormat="1" applyFont="1" applyFill="1" applyBorder="1" applyAlignment="1">
      <alignment horizontal="center" vertical="top" wrapText="1"/>
    </xf>
    <xf numFmtId="49" fontId="11" fillId="0" borderId="28" xfId="0" applyNumberFormat="1" applyFont="1" applyFill="1" applyBorder="1" applyAlignment="1">
      <alignment horizontal="center" vertical="top" wrapText="1"/>
    </xf>
    <xf numFmtId="49" fontId="11" fillId="0" borderId="31" xfId="0" applyNumberFormat="1" applyFont="1" applyFill="1" applyBorder="1" applyAlignment="1">
      <alignment horizontal="center" vertical="top" wrapText="1"/>
    </xf>
    <xf numFmtId="0" fontId="1" fillId="0" borderId="25"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1" fillId="0" borderId="68" xfId="0" applyFont="1" applyFill="1" applyBorder="1" applyAlignment="1">
      <alignment horizontal="center" vertical="top" wrapText="1"/>
    </xf>
    <xf numFmtId="0" fontId="11" fillId="0" borderId="69" xfId="0" applyFont="1" applyFill="1" applyBorder="1" applyAlignment="1">
      <alignment horizontal="center" vertical="top" wrapText="1"/>
    </xf>
    <xf numFmtId="0" fontId="9" fillId="0" borderId="0" xfId="0" applyFont="1" applyFill="1" applyAlignment="1">
      <alignment horizontal="center" vertical="top" wrapText="1"/>
    </xf>
    <xf numFmtId="0" fontId="8" fillId="0" borderId="71" xfId="0" applyFont="1" applyFill="1" applyBorder="1" applyAlignment="1">
      <alignment horizontal="center" vertical="top" wrapText="1"/>
    </xf>
    <xf numFmtId="0" fontId="7" fillId="0" borderId="72" xfId="0" applyFont="1" applyFill="1" applyBorder="1" applyAlignment="1">
      <alignment horizontal="center" wrapText="1"/>
    </xf>
    <xf numFmtId="0" fontId="8" fillId="0" borderId="0" xfId="0" applyFont="1" applyFill="1" applyBorder="1" applyAlignment="1">
      <alignment horizontal="center"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4" xfId="53"/>
    <cellStyle name="Обычный 2" xfId="54"/>
    <cellStyle name="Обычный 2 2" xfId="55"/>
    <cellStyle name="Обычный 2 2 2" xfId="56"/>
    <cellStyle name="Обычный 2 3" xfId="57"/>
    <cellStyle name="Обычный 3" xfId="58"/>
    <cellStyle name="Обычный 3 2"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Финансовый 3"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V124"/>
  <sheetViews>
    <sheetView tabSelected="1" zoomScale="91" zoomScaleNormal="91" zoomScaleSheetLayoutView="75" workbookViewId="0" topLeftCell="A1">
      <pane xSplit="4" ySplit="9" topLeftCell="E92" activePane="bottomRight" state="frozen"/>
      <selection pane="topLeft" activeCell="A1" sqref="A1"/>
      <selection pane="topRight" activeCell="E1" sqref="E1"/>
      <selection pane="bottomLeft" activeCell="A10" sqref="A10"/>
      <selection pane="bottomRight" activeCell="I9" sqref="I9"/>
    </sheetView>
  </sheetViews>
  <sheetFormatPr defaultColWidth="8.77734375" defaultRowHeight="18.75"/>
  <cols>
    <col min="1" max="1" width="3.5546875" style="5" customWidth="1"/>
    <col min="2" max="2" width="5.5546875" style="9" customWidth="1"/>
    <col min="3" max="3" width="12.3359375" style="9" customWidth="1"/>
    <col min="4" max="4" width="28.4453125" style="1" customWidth="1"/>
    <col min="5" max="5" width="13.3359375" style="13" customWidth="1"/>
    <col min="6" max="6" width="12.77734375" style="13" customWidth="1"/>
    <col min="7" max="7" width="8.88671875" style="19" customWidth="1"/>
    <col min="8" max="8" width="13.88671875" style="13" customWidth="1"/>
    <col min="9" max="9" width="11.88671875" style="13" customWidth="1"/>
    <col min="10" max="10" width="12.4453125" style="13" customWidth="1"/>
    <col min="11" max="11" width="8.88671875" style="19" customWidth="1"/>
    <col min="12" max="12" width="11.10546875" style="13" customWidth="1"/>
    <col min="13" max="13" width="11.3359375" style="13" customWidth="1"/>
    <col min="14" max="14" width="10.21484375" style="19" customWidth="1"/>
    <col min="15" max="15" width="11.10546875" style="13" customWidth="1"/>
    <col min="16" max="16" width="12.88671875" style="13" customWidth="1"/>
    <col min="17" max="17" width="8.10546875" style="43" customWidth="1"/>
    <col min="18" max="18" width="10.88671875" style="13" customWidth="1"/>
    <col min="19" max="19" width="9.88671875" style="13" customWidth="1"/>
    <col min="20" max="20" width="7.6640625" style="19" customWidth="1"/>
    <col min="21" max="16384" width="8.77734375" style="1" customWidth="1"/>
  </cols>
  <sheetData>
    <row r="1" spans="2:20" ht="29.25" customHeight="1">
      <c r="B1" s="386" t="s">
        <v>9</v>
      </c>
      <c r="C1" s="386"/>
      <c r="D1" s="386"/>
      <c r="E1" s="386"/>
      <c r="F1" s="386"/>
      <c r="G1" s="386"/>
      <c r="H1" s="386"/>
      <c r="I1" s="386"/>
      <c r="J1" s="386"/>
      <c r="K1" s="386"/>
      <c r="L1" s="386"/>
      <c r="M1" s="386"/>
      <c r="N1" s="386"/>
      <c r="O1" s="386"/>
      <c r="P1" s="386"/>
      <c r="Q1" s="386"/>
      <c r="R1" s="386"/>
      <c r="S1" s="386"/>
      <c r="T1" s="24"/>
    </row>
    <row r="2" spans="1:20" s="2" customFormat="1" ht="20.25" customHeight="1">
      <c r="A2" s="6"/>
      <c r="B2" s="7"/>
      <c r="C2" s="7"/>
      <c r="D2" s="3"/>
      <c r="E2" s="11"/>
      <c r="F2" s="12"/>
      <c r="G2" s="388" t="s">
        <v>22</v>
      </c>
      <c r="H2" s="388"/>
      <c r="I2" s="388"/>
      <c r="J2" s="388"/>
      <c r="K2" s="21"/>
      <c r="L2" s="388" t="s">
        <v>255</v>
      </c>
      <c r="M2" s="388"/>
      <c r="N2" s="388"/>
      <c r="O2" s="16"/>
      <c r="P2" s="16"/>
      <c r="Q2" s="40"/>
      <c r="R2" s="16"/>
      <c r="S2" s="16"/>
      <c r="T2" s="22"/>
    </row>
    <row r="3" spans="2:20" ht="46.5" customHeight="1">
      <c r="B3" s="8"/>
      <c r="C3" s="8"/>
      <c r="D3" s="4"/>
      <c r="F3" s="14"/>
      <c r="G3" s="389" t="s">
        <v>2</v>
      </c>
      <c r="H3" s="389"/>
      <c r="I3" s="389"/>
      <c r="J3" s="389"/>
      <c r="K3" s="18"/>
      <c r="L3" s="387" t="s">
        <v>16</v>
      </c>
      <c r="M3" s="387"/>
      <c r="N3" s="387"/>
      <c r="O3" s="17"/>
      <c r="P3" s="17"/>
      <c r="Q3" s="41"/>
      <c r="R3" s="17"/>
      <c r="S3" s="17"/>
      <c r="T3" s="23"/>
    </row>
    <row r="4" spans="17:20" ht="22.5" customHeight="1" thickBot="1">
      <c r="Q4" s="42"/>
      <c r="T4" s="25" t="s">
        <v>10</v>
      </c>
    </row>
    <row r="5" spans="1:20" ht="46.5" customHeight="1" thickBot="1">
      <c r="A5" s="363" t="s">
        <v>8</v>
      </c>
      <c r="B5" s="374" t="s">
        <v>5</v>
      </c>
      <c r="C5" s="375"/>
      <c r="D5" s="363" t="s">
        <v>91</v>
      </c>
      <c r="E5" s="363" t="s">
        <v>12</v>
      </c>
      <c r="F5" s="368"/>
      <c r="G5" s="369"/>
      <c r="H5" s="384" t="s">
        <v>17</v>
      </c>
      <c r="I5" s="384"/>
      <c r="J5" s="384"/>
      <c r="K5" s="384"/>
      <c r="L5" s="384"/>
      <c r="M5" s="384"/>
      <c r="N5" s="384"/>
      <c r="O5" s="384"/>
      <c r="P5" s="384"/>
      <c r="Q5" s="384"/>
      <c r="R5" s="384"/>
      <c r="S5" s="384"/>
      <c r="T5" s="385"/>
    </row>
    <row r="6" spans="1:20" ht="39.75" customHeight="1" thickBot="1">
      <c r="A6" s="364"/>
      <c r="B6" s="376"/>
      <c r="C6" s="377"/>
      <c r="D6" s="373"/>
      <c r="E6" s="370"/>
      <c r="F6" s="371"/>
      <c r="G6" s="372"/>
      <c r="H6" s="366" t="s">
        <v>0</v>
      </c>
      <c r="I6" s="366"/>
      <c r="J6" s="366"/>
      <c r="K6" s="367"/>
      <c r="L6" s="366" t="s">
        <v>1</v>
      </c>
      <c r="M6" s="366"/>
      <c r="N6" s="367"/>
      <c r="O6" s="365" t="s">
        <v>59</v>
      </c>
      <c r="P6" s="366"/>
      <c r="Q6" s="367"/>
      <c r="R6" s="366" t="s">
        <v>96</v>
      </c>
      <c r="S6" s="366"/>
      <c r="T6" s="367"/>
    </row>
    <row r="7" spans="1:20" ht="72" customHeight="1" thickBot="1">
      <c r="A7" s="364"/>
      <c r="B7" s="10" t="s">
        <v>11</v>
      </c>
      <c r="C7" s="47" t="s">
        <v>6</v>
      </c>
      <c r="D7" s="373"/>
      <c r="E7" s="224" t="s">
        <v>20</v>
      </c>
      <c r="F7" s="15" t="s">
        <v>14</v>
      </c>
      <c r="G7" s="20" t="s">
        <v>4</v>
      </c>
      <c r="H7" s="33" t="s">
        <v>15</v>
      </c>
      <c r="I7" s="33" t="s">
        <v>13</v>
      </c>
      <c r="J7" s="34" t="s">
        <v>14</v>
      </c>
      <c r="K7" s="209" t="s">
        <v>21</v>
      </c>
      <c r="L7" s="202" t="s">
        <v>15</v>
      </c>
      <c r="M7" s="15" t="s">
        <v>14</v>
      </c>
      <c r="N7" s="20" t="s">
        <v>4</v>
      </c>
      <c r="O7" s="32" t="s">
        <v>15</v>
      </c>
      <c r="P7" s="34" t="s">
        <v>14</v>
      </c>
      <c r="Q7" s="221" t="s">
        <v>4</v>
      </c>
      <c r="R7" s="202" t="s">
        <v>15</v>
      </c>
      <c r="S7" s="15" t="s">
        <v>14</v>
      </c>
      <c r="T7" s="20" t="s">
        <v>4</v>
      </c>
    </row>
    <row r="8" spans="1:20" s="27" customFormat="1" ht="21" customHeight="1" thickBot="1">
      <c r="A8" s="28">
        <v>1</v>
      </c>
      <c r="B8" s="29" t="s">
        <v>7</v>
      </c>
      <c r="C8" s="46">
        <v>3</v>
      </c>
      <c r="D8" s="28">
        <v>4</v>
      </c>
      <c r="E8" s="225" t="s">
        <v>19</v>
      </c>
      <c r="F8" s="226" t="s">
        <v>18</v>
      </c>
      <c r="G8" s="26">
        <v>7</v>
      </c>
      <c r="H8" s="30">
        <v>8</v>
      </c>
      <c r="I8" s="30">
        <v>9</v>
      </c>
      <c r="J8" s="29">
        <v>10</v>
      </c>
      <c r="K8" s="26">
        <v>11</v>
      </c>
      <c r="L8" s="203">
        <v>12</v>
      </c>
      <c r="M8" s="44">
        <v>13</v>
      </c>
      <c r="N8" s="45">
        <v>14</v>
      </c>
      <c r="O8" s="31">
        <v>15</v>
      </c>
      <c r="P8" s="29">
        <v>16</v>
      </c>
      <c r="Q8" s="26">
        <v>17</v>
      </c>
      <c r="R8" s="30">
        <v>18</v>
      </c>
      <c r="S8" s="29">
        <v>19</v>
      </c>
      <c r="T8" s="26">
        <v>20</v>
      </c>
    </row>
    <row r="9" spans="1:20" ht="42" customHeight="1" thickBot="1">
      <c r="A9" s="53"/>
      <c r="B9" s="54"/>
      <c r="C9" s="55"/>
      <c r="D9" s="227" t="s">
        <v>3</v>
      </c>
      <c r="E9" s="58">
        <f>SUM(I9+L9+O9+R9)</f>
        <v>19065504.689676136</v>
      </c>
      <c r="F9" s="57">
        <f>SUM(J9+M9+P9+S9)</f>
        <v>18721142.688877888</v>
      </c>
      <c r="G9" s="228">
        <f>F9/E9</f>
        <v>0.981937955149715</v>
      </c>
      <c r="H9" s="56">
        <f>SUM(H11:H124)</f>
        <v>15447334.41529</v>
      </c>
      <c r="I9" s="56">
        <f>SUM(I11:I124)</f>
        <v>15068902.908769997</v>
      </c>
      <c r="J9" s="56">
        <f>SUM(J11:J124)</f>
        <v>15066932.797059996</v>
      </c>
      <c r="K9" s="228">
        <f>J9/I9</f>
        <v>0.9998692597781054</v>
      </c>
      <c r="L9" s="56">
        <f>SUM(L11:L124)</f>
        <v>3386915.5776699986</v>
      </c>
      <c r="M9" s="57">
        <f>SUM(M11:M124)</f>
        <v>3242316.297979999</v>
      </c>
      <c r="N9" s="52">
        <f>SUM(M9/L9)</f>
        <v>0.9573065001550833</v>
      </c>
      <c r="O9" s="58">
        <f>SUM(O11:O124)</f>
        <v>224621.20154614034</v>
      </c>
      <c r="P9" s="56">
        <f>SUM(P11:P124)</f>
        <v>195481.7137578947</v>
      </c>
      <c r="Q9" s="210">
        <f>SUM(P9/O9)</f>
        <v>0.8702727632669173</v>
      </c>
      <c r="R9" s="215">
        <f>SUM(R11:R124)</f>
        <v>385065.00169</v>
      </c>
      <c r="S9" s="57">
        <f>SUM(S11:S124)</f>
        <v>216411.88008</v>
      </c>
      <c r="T9" s="52">
        <f>SUM(S9/R9)</f>
        <v>0.5620138914993482</v>
      </c>
    </row>
    <row r="10" spans="1:20" ht="45" customHeight="1">
      <c r="A10" s="74"/>
      <c r="B10" s="75"/>
      <c r="C10" s="76" t="s">
        <v>36</v>
      </c>
      <c r="D10" s="229" t="s">
        <v>27</v>
      </c>
      <c r="E10" s="230"/>
      <c r="F10" s="77"/>
      <c r="G10" s="231"/>
      <c r="H10" s="204"/>
      <c r="I10" s="77"/>
      <c r="J10" s="77"/>
      <c r="K10" s="333"/>
      <c r="L10" s="204"/>
      <c r="M10" s="78"/>
      <c r="N10" s="79"/>
      <c r="O10" s="81"/>
      <c r="P10" s="78"/>
      <c r="Q10" s="79"/>
      <c r="R10" s="80"/>
      <c r="S10" s="78"/>
      <c r="T10" s="79"/>
    </row>
    <row r="11" spans="1:21" ht="51">
      <c r="A11" s="82">
        <v>1</v>
      </c>
      <c r="B11" s="83" t="s">
        <v>46</v>
      </c>
      <c r="C11" s="232" t="s">
        <v>80</v>
      </c>
      <c r="D11" s="233" t="s">
        <v>97</v>
      </c>
      <c r="E11" s="84">
        <f aca="true" t="shared" si="0" ref="E11:F16">SUM(I11+L11+O11+R11)</f>
        <v>186135.49087</v>
      </c>
      <c r="F11" s="61">
        <f t="shared" si="0"/>
        <v>186128.97400000002</v>
      </c>
      <c r="G11" s="234">
        <f>SUM(F11/E11)</f>
        <v>0.9999649885684373</v>
      </c>
      <c r="H11" s="89">
        <v>31136.8</v>
      </c>
      <c r="I11" s="87">
        <v>31135.49087</v>
      </c>
      <c r="J11" s="87">
        <v>31135.49087</v>
      </c>
      <c r="K11" s="183">
        <f aca="true" t="shared" si="1" ref="K11:K37">J11/I11</f>
        <v>1</v>
      </c>
      <c r="L11" s="89">
        <v>155000</v>
      </c>
      <c r="M11" s="87">
        <v>154993.48313</v>
      </c>
      <c r="N11" s="211">
        <f aca="true" t="shared" si="2" ref="N11:N16">SUM(M11/L11)</f>
        <v>0.9999579556774194</v>
      </c>
      <c r="O11" s="60">
        <v>0</v>
      </c>
      <c r="P11" s="61">
        <v>0</v>
      </c>
      <c r="Q11" s="334">
        <v>0</v>
      </c>
      <c r="R11" s="85">
        <v>0</v>
      </c>
      <c r="S11" s="61">
        <v>0</v>
      </c>
      <c r="T11" s="211">
        <v>0</v>
      </c>
      <c r="U11" s="39"/>
    </row>
    <row r="12" spans="1:21" ht="153">
      <c r="A12" s="86">
        <v>2</v>
      </c>
      <c r="B12" s="65" t="s">
        <v>58</v>
      </c>
      <c r="C12" s="68" t="s">
        <v>81</v>
      </c>
      <c r="D12" s="235" t="s">
        <v>117</v>
      </c>
      <c r="E12" s="236">
        <f t="shared" si="0"/>
        <v>82922.23316999999</v>
      </c>
      <c r="F12" s="87">
        <f t="shared" si="0"/>
        <v>82717.87273</v>
      </c>
      <c r="G12" s="237">
        <f>SUM(F12/E12)</f>
        <v>0.9975355169272754</v>
      </c>
      <c r="H12" s="89">
        <v>57530.2</v>
      </c>
      <c r="I12" s="87">
        <v>57075.33317</v>
      </c>
      <c r="J12" s="87">
        <v>57075.33317</v>
      </c>
      <c r="K12" s="212">
        <f t="shared" si="1"/>
        <v>1</v>
      </c>
      <c r="L12" s="89">
        <v>25846.9</v>
      </c>
      <c r="M12" s="87">
        <v>25642.53956</v>
      </c>
      <c r="N12" s="212">
        <f t="shared" si="2"/>
        <v>0.99209342551718</v>
      </c>
      <c r="O12" s="88">
        <v>0</v>
      </c>
      <c r="P12" s="87">
        <v>0</v>
      </c>
      <c r="Q12" s="335">
        <v>0</v>
      </c>
      <c r="R12" s="89">
        <v>0</v>
      </c>
      <c r="S12" s="87">
        <v>0</v>
      </c>
      <c r="T12" s="212">
        <v>0</v>
      </c>
      <c r="U12" s="39"/>
    </row>
    <row r="13" spans="1:21" ht="102">
      <c r="A13" s="86">
        <v>3</v>
      </c>
      <c r="B13" s="65" t="s">
        <v>46</v>
      </c>
      <c r="C13" s="68" t="s">
        <v>82</v>
      </c>
      <c r="D13" s="238" t="s">
        <v>98</v>
      </c>
      <c r="E13" s="236">
        <f t="shared" si="0"/>
        <v>23695</v>
      </c>
      <c r="F13" s="87">
        <f t="shared" si="0"/>
        <v>8970</v>
      </c>
      <c r="G13" s="237">
        <f>F13/E13</f>
        <v>0.3785608778223254</v>
      </c>
      <c r="H13" s="90">
        <v>32775</v>
      </c>
      <c r="I13" s="48">
        <v>8970</v>
      </c>
      <c r="J13" s="48">
        <v>8970</v>
      </c>
      <c r="K13" s="183">
        <f t="shared" si="1"/>
        <v>1</v>
      </c>
      <c r="L13" s="89">
        <v>14725</v>
      </c>
      <c r="M13" s="87">
        <v>0</v>
      </c>
      <c r="N13" s="212">
        <f t="shared" si="2"/>
        <v>0</v>
      </c>
      <c r="O13" s="88">
        <v>0</v>
      </c>
      <c r="P13" s="87">
        <v>0</v>
      </c>
      <c r="Q13" s="335">
        <v>0</v>
      </c>
      <c r="R13" s="89">
        <v>0</v>
      </c>
      <c r="S13" s="87">
        <v>0</v>
      </c>
      <c r="T13" s="212">
        <v>0</v>
      </c>
      <c r="U13" s="39"/>
    </row>
    <row r="14" spans="1:21" ht="171.75" customHeight="1">
      <c r="A14" s="378">
        <v>4</v>
      </c>
      <c r="B14" s="380" t="s">
        <v>46</v>
      </c>
      <c r="C14" s="382" t="s">
        <v>83</v>
      </c>
      <c r="D14" s="239" t="s">
        <v>99</v>
      </c>
      <c r="E14" s="72">
        <f t="shared" si="0"/>
        <v>3104.1245</v>
      </c>
      <c r="F14" s="48">
        <f t="shared" si="0"/>
        <v>3104.08829</v>
      </c>
      <c r="G14" s="240">
        <f aca="true" t="shared" si="3" ref="G14:G19">SUM(F14/E14)</f>
        <v>0.9999883348750993</v>
      </c>
      <c r="H14" s="90">
        <v>2141.9</v>
      </c>
      <c r="I14" s="48">
        <v>2141.8195</v>
      </c>
      <c r="J14" s="48">
        <v>2141.8195</v>
      </c>
      <c r="K14" s="212">
        <f t="shared" si="1"/>
        <v>1</v>
      </c>
      <c r="L14" s="89">
        <v>962.305</v>
      </c>
      <c r="M14" s="87">
        <v>962.26879</v>
      </c>
      <c r="N14" s="183">
        <f t="shared" si="2"/>
        <v>0.9999623715973626</v>
      </c>
      <c r="O14" s="49">
        <v>0</v>
      </c>
      <c r="P14" s="48">
        <v>0</v>
      </c>
      <c r="Q14" s="336">
        <v>0</v>
      </c>
      <c r="R14" s="90">
        <v>0</v>
      </c>
      <c r="S14" s="48">
        <v>0</v>
      </c>
      <c r="T14" s="183">
        <v>0</v>
      </c>
      <c r="U14" s="39"/>
    </row>
    <row r="15" spans="1:21" ht="86.25" customHeight="1" thickBot="1">
      <c r="A15" s="379"/>
      <c r="B15" s="381"/>
      <c r="C15" s="383"/>
      <c r="D15" s="241" t="s">
        <v>100</v>
      </c>
      <c r="E15" s="236">
        <f t="shared" si="0"/>
        <v>6358.849569999999</v>
      </c>
      <c r="F15" s="87">
        <f t="shared" si="0"/>
        <v>6329.42099</v>
      </c>
      <c r="G15" s="237">
        <f t="shared" si="3"/>
        <v>0.9953720276480766</v>
      </c>
      <c r="H15" s="90">
        <v>4432.8</v>
      </c>
      <c r="I15" s="48">
        <v>4367.29757</v>
      </c>
      <c r="J15" s="48">
        <v>4367.29757</v>
      </c>
      <c r="K15" s="337">
        <f t="shared" si="1"/>
        <v>1</v>
      </c>
      <c r="L15" s="89">
        <v>1991.552</v>
      </c>
      <c r="M15" s="87">
        <v>1962.12342</v>
      </c>
      <c r="N15" s="212">
        <f t="shared" si="2"/>
        <v>0.9852232931904364</v>
      </c>
      <c r="O15" s="88">
        <v>0</v>
      </c>
      <c r="P15" s="87">
        <v>0</v>
      </c>
      <c r="Q15" s="335">
        <v>0</v>
      </c>
      <c r="R15" s="89">
        <v>0</v>
      </c>
      <c r="S15" s="87">
        <v>0</v>
      </c>
      <c r="T15" s="212">
        <v>0</v>
      </c>
      <c r="U15" s="39"/>
    </row>
    <row r="16" spans="1:21" ht="76.5">
      <c r="A16" s="379"/>
      <c r="B16" s="381"/>
      <c r="C16" s="383"/>
      <c r="D16" s="235" t="s">
        <v>101</v>
      </c>
      <c r="E16" s="236">
        <f t="shared" si="0"/>
        <v>2796.813</v>
      </c>
      <c r="F16" s="87">
        <f t="shared" si="0"/>
        <v>2796.813</v>
      </c>
      <c r="G16" s="237">
        <f t="shared" si="3"/>
        <v>1</v>
      </c>
      <c r="H16" s="90">
        <v>1929.8</v>
      </c>
      <c r="I16" s="48">
        <v>1929.8</v>
      </c>
      <c r="J16" s="48">
        <v>1929.8</v>
      </c>
      <c r="K16" s="195">
        <f t="shared" si="1"/>
        <v>1</v>
      </c>
      <c r="L16" s="89">
        <v>867.013</v>
      </c>
      <c r="M16" s="87">
        <v>867.013</v>
      </c>
      <c r="N16" s="212">
        <f t="shared" si="2"/>
        <v>1</v>
      </c>
      <c r="O16" s="88">
        <v>0</v>
      </c>
      <c r="P16" s="87">
        <v>0</v>
      </c>
      <c r="Q16" s="335">
        <v>0</v>
      </c>
      <c r="R16" s="89">
        <v>0</v>
      </c>
      <c r="S16" s="87">
        <v>0</v>
      </c>
      <c r="T16" s="212">
        <v>0</v>
      </c>
      <c r="U16" s="39"/>
    </row>
    <row r="17" spans="1:21" ht="204">
      <c r="A17" s="91">
        <v>5</v>
      </c>
      <c r="B17" s="65" t="s">
        <v>46</v>
      </c>
      <c r="C17" s="68" t="s">
        <v>102</v>
      </c>
      <c r="D17" s="235" t="s">
        <v>103</v>
      </c>
      <c r="E17" s="236">
        <f aca="true" t="shared" si="4" ref="E17:E23">SUM(I17+L17+O17+R17)</f>
        <v>3020</v>
      </c>
      <c r="F17" s="87">
        <f>SUM(J17+M17+P17+S17)</f>
        <v>3020</v>
      </c>
      <c r="G17" s="237">
        <f t="shared" si="3"/>
        <v>1</v>
      </c>
      <c r="H17" s="90">
        <v>3020</v>
      </c>
      <c r="I17" s="48">
        <v>3020</v>
      </c>
      <c r="J17" s="48">
        <v>3020</v>
      </c>
      <c r="K17" s="212">
        <f t="shared" si="1"/>
        <v>1</v>
      </c>
      <c r="L17" s="89">
        <v>0</v>
      </c>
      <c r="M17" s="87">
        <v>0</v>
      </c>
      <c r="N17" s="212">
        <v>0</v>
      </c>
      <c r="O17" s="88">
        <v>0</v>
      </c>
      <c r="P17" s="87">
        <v>0</v>
      </c>
      <c r="Q17" s="335">
        <v>0</v>
      </c>
      <c r="R17" s="89">
        <v>0</v>
      </c>
      <c r="S17" s="87">
        <v>0</v>
      </c>
      <c r="T17" s="212">
        <v>0</v>
      </c>
      <c r="U17" s="39"/>
    </row>
    <row r="18" spans="1:21" ht="77.25" thickBot="1">
      <c r="A18" s="86">
        <v>6</v>
      </c>
      <c r="B18" s="65" t="s">
        <v>46</v>
      </c>
      <c r="C18" s="68" t="s">
        <v>104</v>
      </c>
      <c r="D18" s="242" t="s">
        <v>118</v>
      </c>
      <c r="E18" s="236">
        <f t="shared" si="4"/>
        <v>290659.07726</v>
      </c>
      <c r="F18" s="87">
        <f>SUM(J18+M18+P18+S18)</f>
        <v>290591.22625999997</v>
      </c>
      <c r="G18" s="237">
        <f t="shared" si="3"/>
        <v>0.9997665615653926</v>
      </c>
      <c r="H18" s="90">
        <v>280596</v>
      </c>
      <c r="I18" s="48">
        <v>278967.57726</v>
      </c>
      <c r="J18" s="48">
        <v>278967.57726</v>
      </c>
      <c r="K18" s="337">
        <f t="shared" si="1"/>
        <v>1</v>
      </c>
      <c r="L18" s="89">
        <v>11691.5</v>
      </c>
      <c r="M18" s="87">
        <v>11623.649</v>
      </c>
      <c r="N18" s="212">
        <f>SUM(M18/L18)</f>
        <v>0.994196553051362</v>
      </c>
      <c r="O18" s="88">
        <v>0</v>
      </c>
      <c r="P18" s="87">
        <v>0</v>
      </c>
      <c r="Q18" s="335">
        <v>0</v>
      </c>
      <c r="R18" s="89">
        <v>0</v>
      </c>
      <c r="S18" s="87">
        <v>0</v>
      </c>
      <c r="T18" s="212">
        <v>0</v>
      </c>
      <c r="U18" s="39"/>
    </row>
    <row r="19" spans="1:21" ht="102">
      <c r="A19" s="86">
        <v>7</v>
      </c>
      <c r="B19" s="65" t="s">
        <v>58</v>
      </c>
      <c r="C19" s="68" t="s">
        <v>84</v>
      </c>
      <c r="D19" s="242" t="s">
        <v>119</v>
      </c>
      <c r="E19" s="236">
        <f t="shared" si="4"/>
        <v>206.15827</v>
      </c>
      <c r="F19" s="87">
        <f aca="true" t="shared" si="5" ref="F19:F26">SUM(J19+M19+P19+S19)</f>
        <v>206.15827</v>
      </c>
      <c r="G19" s="237">
        <f t="shared" si="3"/>
        <v>1</v>
      </c>
      <c r="H19" s="90">
        <v>211.4</v>
      </c>
      <c r="I19" s="48">
        <v>206.15827</v>
      </c>
      <c r="J19" s="48">
        <v>206.15827</v>
      </c>
      <c r="K19" s="338">
        <f t="shared" si="1"/>
        <v>1</v>
      </c>
      <c r="L19" s="89">
        <v>0</v>
      </c>
      <c r="M19" s="87">
        <v>0</v>
      </c>
      <c r="N19" s="212">
        <v>0</v>
      </c>
      <c r="O19" s="88">
        <v>0</v>
      </c>
      <c r="P19" s="87">
        <v>0</v>
      </c>
      <c r="Q19" s="335">
        <v>0</v>
      </c>
      <c r="R19" s="89">
        <v>0</v>
      </c>
      <c r="S19" s="87">
        <v>0</v>
      </c>
      <c r="T19" s="212">
        <v>0</v>
      </c>
      <c r="U19" s="39"/>
    </row>
    <row r="20" spans="1:21" ht="63.75">
      <c r="A20" s="86">
        <v>8</v>
      </c>
      <c r="B20" s="92" t="s">
        <v>46</v>
      </c>
      <c r="C20" s="68" t="s">
        <v>85</v>
      </c>
      <c r="D20" s="242" t="s">
        <v>120</v>
      </c>
      <c r="E20" s="236">
        <f t="shared" si="4"/>
        <v>28228.43189</v>
      </c>
      <c r="F20" s="87">
        <f t="shared" si="5"/>
        <v>20242.0182</v>
      </c>
      <c r="G20" s="237">
        <f aca="true" t="shared" si="6" ref="G20:G29">SUM(F20/E20)</f>
        <v>0.7170790881646809</v>
      </c>
      <c r="H20" s="89">
        <v>31743.2</v>
      </c>
      <c r="I20" s="87">
        <v>13966.99189</v>
      </c>
      <c r="J20" s="87">
        <v>13966.99189</v>
      </c>
      <c r="K20" s="335">
        <f t="shared" si="1"/>
        <v>1</v>
      </c>
      <c r="L20" s="89">
        <v>14261.44</v>
      </c>
      <c r="M20" s="87">
        <v>6275.02631</v>
      </c>
      <c r="N20" s="212">
        <f>SUM(M20/L20)</f>
        <v>0.43999948883142237</v>
      </c>
      <c r="O20" s="88">
        <v>0</v>
      </c>
      <c r="P20" s="87">
        <v>0</v>
      </c>
      <c r="Q20" s="335">
        <v>0</v>
      </c>
      <c r="R20" s="89">
        <v>0</v>
      </c>
      <c r="S20" s="87">
        <v>0</v>
      </c>
      <c r="T20" s="212">
        <v>0</v>
      </c>
      <c r="U20" s="39"/>
    </row>
    <row r="21" spans="1:21" ht="63.75">
      <c r="A21" s="86">
        <v>9</v>
      </c>
      <c r="B21" s="92" t="s">
        <v>86</v>
      </c>
      <c r="C21" s="68" t="s">
        <v>87</v>
      </c>
      <c r="D21" s="242" t="s">
        <v>121</v>
      </c>
      <c r="E21" s="236">
        <f t="shared" si="4"/>
        <v>320522.3</v>
      </c>
      <c r="F21" s="87">
        <f t="shared" si="5"/>
        <v>320522.3</v>
      </c>
      <c r="G21" s="237">
        <f t="shared" si="6"/>
        <v>1</v>
      </c>
      <c r="H21" s="89">
        <v>320522.3</v>
      </c>
      <c r="I21" s="87">
        <v>320522.3</v>
      </c>
      <c r="J21" s="87">
        <v>320522.3</v>
      </c>
      <c r="K21" s="335">
        <f t="shared" si="1"/>
        <v>1</v>
      </c>
      <c r="L21" s="89">
        <v>0</v>
      </c>
      <c r="M21" s="87">
        <v>0</v>
      </c>
      <c r="N21" s="212">
        <v>0</v>
      </c>
      <c r="O21" s="88">
        <v>0</v>
      </c>
      <c r="P21" s="87">
        <v>0</v>
      </c>
      <c r="Q21" s="335">
        <v>0</v>
      </c>
      <c r="R21" s="89">
        <v>0</v>
      </c>
      <c r="S21" s="87">
        <v>0</v>
      </c>
      <c r="T21" s="212">
        <v>0</v>
      </c>
      <c r="U21" s="39"/>
    </row>
    <row r="22" spans="1:21" ht="76.5">
      <c r="A22" s="82">
        <v>10</v>
      </c>
      <c r="B22" s="66" t="s">
        <v>86</v>
      </c>
      <c r="C22" s="67" t="s">
        <v>88</v>
      </c>
      <c r="D22" s="332" t="s">
        <v>122</v>
      </c>
      <c r="E22" s="72">
        <f t="shared" si="4"/>
        <v>94284.52683</v>
      </c>
      <c r="F22" s="48">
        <f t="shared" si="5"/>
        <v>94284.52683</v>
      </c>
      <c r="G22" s="240">
        <f t="shared" si="6"/>
        <v>1</v>
      </c>
      <c r="H22" s="339">
        <v>94315.2</v>
      </c>
      <c r="I22" s="340">
        <v>94284.52683</v>
      </c>
      <c r="J22" s="340">
        <v>94284.52683</v>
      </c>
      <c r="K22" s="212">
        <f t="shared" si="1"/>
        <v>1</v>
      </c>
      <c r="L22" s="90">
        <v>0</v>
      </c>
      <c r="M22" s="48">
        <v>0</v>
      </c>
      <c r="N22" s="183">
        <v>0</v>
      </c>
      <c r="O22" s="49">
        <v>0</v>
      </c>
      <c r="P22" s="48">
        <v>0</v>
      </c>
      <c r="Q22" s="336">
        <v>0</v>
      </c>
      <c r="R22" s="90">
        <v>0</v>
      </c>
      <c r="S22" s="48">
        <v>0</v>
      </c>
      <c r="T22" s="183">
        <v>0</v>
      </c>
      <c r="U22" s="39"/>
    </row>
    <row r="23" spans="1:21" ht="89.25">
      <c r="A23" s="86">
        <v>11</v>
      </c>
      <c r="B23" s="65" t="s">
        <v>58</v>
      </c>
      <c r="C23" s="68" t="s">
        <v>89</v>
      </c>
      <c r="D23" s="242" t="s">
        <v>123</v>
      </c>
      <c r="E23" s="236">
        <f t="shared" si="4"/>
        <v>150335.03812</v>
      </c>
      <c r="F23" s="87">
        <f t="shared" si="5"/>
        <v>150335.03812</v>
      </c>
      <c r="G23" s="237">
        <f t="shared" si="6"/>
        <v>1</v>
      </c>
      <c r="H23" s="341">
        <v>153468.1</v>
      </c>
      <c r="I23" s="342">
        <v>150335.03812</v>
      </c>
      <c r="J23" s="342">
        <v>150335.03812</v>
      </c>
      <c r="K23" s="212">
        <f t="shared" si="1"/>
        <v>1</v>
      </c>
      <c r="L23" s="89">
        <v>0</v>
      </c>
      <c r="M23" s="87">
        <v>0</v>
      </c>
      <c r="N23" s="212">
        <v>0</v>
      </c>
      <c r="O23" s="88">
        <v>0</v>
      </c>
      <c r="P23" s="87">
        <v>0</v>
      </c>
      <c r="Q23" s="335">
        <v>0</v>
      </c>
      <c r="R23" s="89">
        <v>0</v>
      </c>
      <c r="S23" s="87">
        <v>0</v>
      </c>
      <c r="T23" s="212">
        <v>0</v>
      </c>
      <c r="U23" s="39"/>
    </row>
    <row r="24" spans="1:21" ht="114.75">
      <c r="A24" s="82">
        <v>12</v>
      </c>
      <c r="B24" s="66" t="s">
        <v>46</v>
      </c>
      <c r="C24" s="67" t="s">
        <v>105</v>
      </c>
      <c r="D24" s="239" t="s">
        <v>106</v>
      </c>
      <c r="E24" s="236">
        <f>SUM(I24+L24+O24+R24)</f>
        <v>274538.12332</v>
      </c>
      <c r="F24" s="87">
        <f>SUM(J24+M24+P24+S24)</f>
        <v>274538.12332</v>
      </c>
      <c r="G24" s="237">
        <f t="shared" si="6"/>
        <v>1</v>
      </c>
      <c r="H24" s="341">
        <v>276724.2</v>
      </c>
      <c r="I24" s="342">
        <v>274538.12332</v>
      </c>
      <c r="J24" s="342">
        <v>274538.12332</v>
      </c>
      <c r="K24" s="212">
        <f t="shared" si="1"/>
        <v>1</v>
      </c>
      <c r="L24" s="89">
        <v>0</v>
      </c>
      <c r="M24" s="87">
        <v>0</v>
      </c>
      <c r="N24" s="212">
        <v>0</v>
      </c>
      <c r="O24" s="88">
        <v>0</v>
      </c>
      <c r="P24" s="87">
        <v>0</v>
      </c>
      <c r="Q24" s="335">
        <v>0</v>
      </c>
      <c r="R24" s="89">
        <v>0</v>
      </c>
      <c r="S24" s="87">
        <v>0</v>
      </c>
      <c r="T24" s="212">
        <v>0</v>
      </c>
      <c r="U24" s="39"/>
    </row>
    <row r="25" spans="1:21" ht="76.5">
      <c r="A25" s="86">
        <v>13</v>
      </c>
      <c r="B25" s="65" t="s">
        <v>46</v>
      </c>
      <c r="C25" s="68" t="s">
        <v>90</v>
      </c>
      <c r="D25" s="243" t="s">
        <v>107</v>
      </c>
      <c r="E25" s="236">
        <f aca="true" t="shared" si="7" ref="E25:F29">SUM(I25+L25+O25+R25)</f>
        <v>94642.76731</v>
      </c>
      <c r="F25" s="87">
        <f t="shared" si="5"/>
        <v>94642.76731</v>
      </c>
      <c r="G25" s="237">
        <f t="shared" si="6"/>
        <v>1</v>
      </c>
      <c r="H25" s="341">
        <v>95338</v>
      </c>
      <c r="I25" s="342">
        <v>94642.76731</v>
      </c>
      <c r="J25" s="342">
        <v>94642.76731</v>
      </c>
      <c r="K25" s="212">
        <f t="shared" si="1"/>
        <v>1</v>
      </c>
      <c r="L25" s="89">
        <v>0</v>
      </c>
      <c r="M25" s="87">
        <v>0</v>
      </c>
      <c r="N25" s="212">
        <v>0</v>
      </c>
      <c r="O25" s="88">
        <v>0</v>
      </c>
      <c r="P25" s="87">
        <v>0</v>
      </c>
      <c r="Q25" s="335">
        <v>0</v>
      </c>
      <c r="R25" s="89">
        <v>0</v>
      </c>
      <c r="S25" s="87">
        <v>0</v>
      </c>
      <c r="T25" s="212">
        <v>0</v>
      </c>
      <c r="U25" s="39"/>
    </row>
    <row r="26" spans="1:21" ht="51">
      <c r="A26" s="86">
        <v>14</v>
      </c>
      <c r="B26" s="65" t="s">
        <v>86</v>
      </c>
      <c r="C26" s="68" t="s">
        <v>108</v>
      </c>
      <c r="D26" s="241" t="s">
        <v>109</v>
      </c>
      <c r="E26" s="236">
        <f>SUM(I26+L26+O26+R26)</f>
        <v>4020</v>
      </c>
      <c r="F26" s="87">
        <f t="shared" si="5"/>
        <v>4020</v>
      </c>
      <c r="G26" s="237">
        <f t="shared" si="6"/>
        <v>1</v>
      </c>
      <c r="H26" s="341">
        <v>4020</v>
      </c>
      <c r="I26" s="342">
        <v>4020</v>
      </c>
      <c r="J26" s="342">
        <v>4020</v>
      </c>
      <c r="K26" s="212">
        <f t="shared" si="1"/>
        <v>1</v>
      </c>
      <c r="L26" s="89">
        <v>0</v>
      </c>
      <c r="M26" s="87">
        <v>0</v>
      </c>
      <c r="N26" s="212">
        <v>0</v>
      </c>
      <c r="O26" s="88">
        <v>0</v>
      </c>
      <c r="P26" s="87">
        <v>0</v>
      </c>
      <c r="Q26" s="335">
        <v>0</v>
      </c>
      <c r="R26" s="89">
        <v>0</v>
      </c>
      <c r="S26" s="87">
        <v>0</v>
      </c>
      <c r="T26" s="212">
        <v>0</v>
      </c>
      <c r="U26" s="39"/>
    </row>
    <row r="27" spans="1:21" ht="63.75">
      <c r="A27" s="86">
        <v>15</v>
      </c>
      <c r="B27" s="65" t="s">
        <v>110</v>
      </c>
      <c r="C27" s="68" t="s">
        <v>111</v>
      </c>
      <c r="D27" s="244" t="s">
        <v>112</v>
      </c>
      <c r="E27" s="236">
        <f t="shared" si="7"/>
        <v>24680.453820000002</v>
      </c>
      <c r="F27" s="87">
        <f t="shared" si="7"/>
        <v>21796</v>
      </c>
      <c r="G27" s="237">
        <f>SUM(F27/E27)</f>
        <v>0.8831280072466673</v>
      </c>
      <c r="H27" s="341">
        <v>21287</v>
      </c>
      <c r="I27" s="342">
        <v>14967.45382</v>
      </c>
      <c r="J27" s="342">
        <v>14967.45382</v>
      </c>
      <c r="K27" s="212">
        <f t="shared" si="1"/>
        <v>1</v>
      </c>
      <c r="L27" s="89">
        <v>9713</v>
      </c>
      <c r="M27" s="87">
        <v>6828.54618</v>
      </c>
      <c r="N27" s="212">
        <f>SUM(M27/L27)</f>
        <v>0.7030316256563369</v>
      </c>
      <c r="O27" s="88">
        <v>0</v>
      </c>
      <c r="P27" s="87">
        <v>0</v>
      </c>
      <c r="Q27" s="335">
        <v>0</v>
      </c>
      <c r="R27" s="89">
        <v>0</v>
      </c>
      <c r="S27" s="87">
        <v>0</v>
      </c>
      <c r="T27" s="212">
        <v>0</v>
      </c>
      <c r="U27" s="39"/>
    </row>
    <row r="28" spans="1:21" ht="38.25">
      <c r="A28" s="86">
        <v>16</v>
      </c>
      <c r="B28" s="65" t="s">
        <v>46</v>
      </c>
      <c r="C28" s="68" t="s">
        <v>113</v>
      </c>
      <c r="D28" s="244" t="s">
        <v>114</v>
      </c>
      <c r="E28" s="236">
        <f t="shared" si="7"/>
        <v>131594.21</v>
      </c>
      <c r="F28" s="87">
        <f t="shared" si="7"/>
        <v>131594.21</v>
      </c>
      <c r="G28" s="237">
        <f t="shared" si="6"/>
        <v>1</v>
      </c>
      <c r="H28" s="341">
        <v>90800</v>
      </c>
      <c r="I28" s="342">
        <v>90800</v>
      </c>
      <c r="J28" s="342">
        <v>90800</v>
      </c>
      <c r="K28" s="212">
        <f t="shared" si="1"/>
        <v>1</v>
      </c>
      <c r="L28" s="89">
        <v>40794.21</v>
      </c>
      <c r="M28" s="87">
        <v>40794.21</v>
      </c>
      <c r="N28" s="183">
        <f>SUM(M28/L28)</f>
        <v>1</v>
      </c>
      <c r="O28" s="88">
        <v>0</v>
      </c>
      <c r="P28" s="87">
        <v>0</v>
      </c>
      <c r="Q28" s="335">
        <v>0</v>
      </c>
      <c r="R28" s="89">
        <v>0</v>
      </c>
      <c r="S28" s="87">
        <v>0</v>
      </c>
      <c r="T28" s="212">
        <v>0</v>
      </c>
      <c r="U28" s="39"/>
    </row>
    <row r="29" spans="1:21" ht="64.5" thickBot="1">
      <c r="A29" s="93">
        <v>17</v>
      </c>
      <c r="B29" s="94" t="s">
        <v>58</v>
      </c>
      <c r="C29" s="69" t="s">
        <v>115</v>
      </c>
      <c r="D29" s="245" t="s">
        <v>116</v>
      </c>
      <c r="E29" s="246">
        <f t="shared" si="7"/>
        <v>53411.880000000005</v>
      </c>
      <c r="F29" s="95">
        <f t="shared" si="7"/>
        <v>53411.880000000005</v>
      </c>
      <c r="G29" s="247">
        <f t="shared" si="6"/>
        <v>1</v>
      </c>
      <c r="H29" s="343">
        <v>51275.4</v>
      </c>
      <c r="I29" s="344">
        <v>51275.4</v>
      </c>
      <c r="J29" s="344">
        <v>51275.4</v>
      </c>
      <c r="K29" s="337">
        <f t="shared" si="1"/>
        <v>1</v>
      </c>
      <c r="L29" s="97">
        <v>2136.48</v>
      </c>
      <c r="M29" s="95">
        <v>2136.48</v>
      </c>
      <c r="N29" s="213">
        <f>SUM(M29/L29)</f>
        <v>1</v>
      </c>
      <c r="O29" s="96">
        <v>0</v>
      </c>
      <c r="P29" s="95">
        <v>0</v>
      </c>
      <c r="Q29" s="345">
        <v>0</v>
      </c>
      <c r="R29" s="97">
        <v>0</v>
      </c>
      <c r="S29" s="95">
        <v>0</v>
      </c>
      <c r="T29" s="191">
        <v>0</v>
      </c>
      <c r="U29" s="39"/>
    </row>
    <row r="30" spans="1:20" ht="45.75" customHeight="1">
      <c r="A30" s="166"/>
      <c r="B30" s="66"/>
      <c r="C30" s="76" t="s">
        <v>41</v>
      </c>
      <c r="D30" s="229" t="s">
        <v>42</v>
      </c>
      <c r="E30" s="72"/>
      <c r="F30" s="48"/>
      <c r="G30" s="240"/>
      <c r="H30" s="90"/>
      <c r="I30" s="48"/>
      <c r="J30" s="48"/>
      <c r="K30" s="195"/>
      <c r="L30" s="90"/>
      <c r="M30" s="48"/>
      <c r="N30" s="138"/>
      <c r="O30" s="49"/>
      <c r="P30" s="48"/>
      <c r="Q30" s="138"/>
      <c r="R30" s="90"/>
      <c r="S30" s="48"/>
      <c r="T30" s="138"/>
    </row>
    <row r="31" spans="1:20" ht="178.5" customHeight="1">
      <c r="A31" s="82">
        <v>18</v>
      </c>
      <c r="B31" s="105" t="s">
        <v>43</v>
      </c>
      <c r="C31" s="248" t="s">
        <v>217</v>
      </c>
      <c r="D31" s="249" t="s">
        <v>124</v>
      </c>
      <c r="E31" s="72">
        <f>SUM(I31+L31+O31+R31)</f>
        <v>7503.609</v>
      </c>
      <c r="F31" s="87">
        <f>SUM(J31+M31+P31+S31)</f>
        <v>7466.59</v>
      </c>
      <c r="G31" s="240">
        <f aca="true" t="shared" si="8" ref="G31:G42">F31/E31</f>
        <v>0.9950665073300061</v>
      </c>
      <c r="H31" s="346">
        <v>3905.3</v>
      </c>
      <c r="I31" s="342">
        <v>3733.91</v>
      </c>
      <c r="J31" s="342">
        <v>3733.91</v>
      </c>
      <c r="K31" s="212">
        <f t="shared" si="1"/>
        <v>1</v>
      </c>
      <c r="L31" s="347">
        <v>1754.555</v>
      </c>
      <c r="M31" s="348">
        <v>1677.55</v>
      </c>
      <c r="N31" s="212">
        <f>M31/L31</f>
        <v>0.9561113786686652</v>
      </c>
      <c r="O31" s="349">
        <v>2015.144</v>
      </c>
      <c r="P31" s="350">
        <v>2055.13</v>
      </c>
      <c r="Q31" s="335">
        <f>SUM(P31/O31)</f>
        <v>1.019842750691762</v>
      </c>
      <c r="R31" s="89">
        <v>0</v>
      </c>
      <c r="S31" s="87">
        <v>0</v>
      </c>
      <c r="T31" s="212">
        <v>0</v>
      </c>
    </row>
    <row r="32" spans="1:20" ht="172.5" customHeight="1" thickBot="1">
      <c r="A32" s="86">
        <v>19</v>
      </c>
      <c r="B32" s="106" t="s">
        <v>43</v>
      </c>
      <c r="C32" s="250" t="s">
        <v>125</v>
      </c>
      <c r="D32" s="251" t="s">
        <v>126</v>
      </c>
      <c r="E32" s="236">
        <f>SUM(I32+L32+O32+R32)</f>
        <v>28686.73246</v>
      </c>
      <c r="F32" s="87">
        <f>J32+M32+P32+S32</f>
        <v>28327.32419</v>
      </c>
      <c r="G32" s="237">
        <f t="shared" si="8"/>
        <v>0.9874712719372571</v>
      </c>
      <c r="H32" s="351">
        <v>19106.077</v>
      </c>
      <c r="I32" s="352">
        <v>18568.56346</v>
      </c>
      <c r="J32" s="352">
        <v>18568.56346</v>
      </c>
      <c r="K32" s="337">
        <f t="shared" si="1"/>
        <v>1</v>
      </c>
      <c r="L32" s="351">
        <v>8583.89</v>
      </c>
      <c r="M32" s="354">
        <v>8342.39452</v>
      </c>
      <c r="N32" s="212">
        <v>0.6553</v>
      </c>
      <c r="O32" s="109">
        <v>1534.279</v>
      </c>
      <c r="P32" s="110">
        <v>1416.36621</v>
      </c>
      <c r="Q32" s="335">
        <f>P32/O32</f>
        <v>0.9231477521363454</v>
      </c>
      <c r="R32" s="89">
        <v>0</v>
      </c>
      <c r="S32" s="87">
        <v>0</v>
      </c>
      <c r="T32" s="212">
        <v>0</v>
      </c>
    </row>
    <row r="33" spans="1:20" ht="162" customHeight="1" thickBot="1">
      <c r="A33" s="86">
        <v>20</v>
      </c>
      <c r="B33" s="106" t="s">
        <v>43</v>
      </c>
      <c r="C33" s="250" t="s">
        <v>72</v>
      </c>
      <c r="D33" s="251" t="s">
        <v>127</v>
      </c>
      <c r="E33" s="236">
        <f aca="true" t="shared" si="9" ref="E33:E42">SUM(I33+L33+O33+R33)</f>
        <v>442897.93999999994</v>
      </c>
      <c r="F33" s="87">
        <f>J33+M33+P33+S33</f>
        <v>442897.93999999994</v>
      </c>
      <c r="G33" s="237">
        <f t="shared" si="8"/>
        <v>1</v>
      </c>
      <c r="H33" s="351">
        <v>290319.6</v>
      </c>
      <c r="I33" s="352">
        <v>290319.6</v>
      </c>
      <c r="J33" s="352">
        <v>290319.6</v>
      </c>
      <c r="K33" s="353">
        <f t="shared" si="1"/>
        <v>1</v>
      </c>
      <c r="L33" s="355">
        <v>130433.443</v>
      </c>
      <c r="M33" s="178">
        <v>130433.443</v>
      </c>
      <c r="N33" s="212">
        <f>M33/L33</f>
        <v>1</v>
      </c>
      <c r="O33" s="177">
        <v>22144.897</v>
      </c>
      <c r="P33" s="178">
        <v>22144.897</v>
      </c>
      <c r="Q33" s="335">
        <f>SUM(P33/O33)</f>
        <v>1</v>
      </c>
      <c r="R33" s="89">
        <v>0</v>
      </c>
      <c r="S33" s="87">
        <v>0</v>
      </c>
      <c r="T33" s="212">
        <v>0</v>
      </c>
    </row>
    <row r="34" spans="1:20" ht="181.5" customHeight="1">
      <c r="A34" s="86">
        <v>21</v>
      </c>
      <c r="B34" s="107" t="s">
        <v>128</v>
      </c>
      <c r="C34" s="108" t="s">
        <v>129</v>
      </c>
      <c r="D34" s="252" t="s">
        <v>130</v>
      </c>
      <c r="E34" s="236">
        <f t="shared" si="9"/>
        <v>82430.82379000001</v>
      </c>
      <c r="F34" s="87">
        <f>J34+M34+P34+S34</f>
        <v>82400.92959</v>
      </c>
      <c r="G34" s="237">
        <f t="shared" si="8"/>
        <v>0.9996373419720254</v>
      </c>
      <c r="H34" s="112">
        <f>67233+11771.964</f>
        <v>79004.964</v>
      </c>
      <c r="I34" s="110">
        <f>67232.99979+11771.96316</f>
        <v>79004.96295</v>
      </c>
      <c r="J34" s="110">
        <f>I34</f>
        <v>79004.96295</v>
      </c>
      <c r="K34" s="195">
        <f t="shared" si="1"/>
        <v>1</v>
      </c>
      <c r="L34" s="87">
        <f>2801.375+490.497</f>
        <v>3291.872</v>
      </c>
      <c r="M34" s="87">
        <f>2801.37499+490.49697</f>
        <v>3291.87196</v>
      </c>
      <c r="N34" s="212">
        <f>M34/L34</f>
        <v>0.9999999878488592</v>
      </c>
      <c r="O34" s="88">
        <v>133.98884</v>
      </c>
      <c r="P34" s="87">
        <v>104.09468</v>
      </c>
      <c r="Q34" s="335">
        <f>SUM(P34/O34)</f>
        <v>0.776890672387342</v>
      </c>
      <c r="R34" s="112">
        <v>0</v>
      </c>
      <c r="S34" s="110">
        <v>0</v>
      </c>
      <c r="T34" s="212">
        <v>0</v>
      </c>
    </row>
    <row r="35" spans="1:20" ht="169.5" customHeight="1" thickBot="1">
      <c r="A35" s="86">
        <v>22</v>
      </c>
      <c r="B35" s="107" t="s">
        <v>43</v>
      </c>
      <c r="C35" s="111" t="s">
        <v>131</v>
      </c>
      <c r="D35" s="252" t="s">
        <v>132</v>
      </c>
      <c r="E35" s="236">
        <f t="shared" si="9"/>
        <v>52249.29436</v>
      </c>
      <c r="F35" s="87">
        <f>J35+M35+P35+S35</f>
        <v>52249.29434</v>
      </c>
      <c r="G35" s="237">
        <f t="shared" si="8"/>
        <v>0.9999999996172197</v>
      </c>
      <c r="H35" s="356">
        <f>43437.857+6721.468</f>
        <v>50159.325000000004</v>
      </c>
      <c r="I35" s="357">
        <f>43437.85646+6721.4679</f>
        <v>50159.32436</v>
      </c>
      <c r="J35" s="357">
        <f>I35</f>
        <v>50159.32436</v>
      </c>
      <c r="K35" s="337">
        <f t="shared" si="1"/>
        <v>1</v>
      </c>
      <c r="L35" s="357">
        <f>1809.91+280.06</f>
        <v>2089.9700000000003</v>
      </c>
      <c r="M35" s="357">
        <f>1809.90998+280.06</f>
        <v>2089.96998</v>
      </c>
      <c r="N35" s="212">
        <f aca="true" t="shared" si="10" ref="N35:N42">SUM(M35/L35)</f>
        <v>0.9999999904304845</v>
      </c>
      <c r="O35" s="109">
        <v>0</v>
      </c>
      <c r="P35" s="110">
        <v>0</v>
      </c>
      <c r="Q35" s="335">
        <v>0</v>
      </c>
      <c r="R35" s="112">
        <v>0</v>
      </c>
      <c r="S35" s="110">
        <v>0</v>
      </c>
      <c r="T35" s="212">
        <v>0</v>
      </c>
    </row>
    <row r="36" spans="1:20" ht="319.5" thickBot="1">
      <c r="A36" s="86">
        <v>23</v>
      </c>
      <c r="B36" s="107" t="s">
        <v>133</v>
      </c>
      <c r="C36" s="111" t="s">
        <v>134</v>
      </c>
      <c r="D36" s="253" t="s">
        <v>135</v>
      </c>
      <c r="E36" s="236">
        <f t="shared" si="9"/>
        <v>183292.66236</v>
      </c>
      <c r="F36" s="87">
        <f>J36+M36+P36+S36</f>
        <v>182779.32298</v>
      </c>
      <c r="G36" s="237">
        <f t="shared" si="8"/>
        <v>0.9971993457163508</v>
      </c>
      <c r="H36" s="179">
        <f>14345.541+66290.663+94625.783</f>
        <v>175261.987</v>
      </c>
      <c r="I36" s="178">
        <f>14345.54015+66277.79564+94625.78257</f>
        <v>175249.11836</v>
      </c>
      <c r="J36" s="112">
        <f>I36</f>
        <v>175249.11836</v>
      </c>
      <c r="K36" s="353">
        <f t="shared" si="1"/>
        <v>1</v>
      </c>
      <c r="L36" s="87">
        <f>597.73+2762.11+3942.736</f>
        <v>7302.576</v>
      </c>
      <c r="M36" s="87">
        <f>597.72996+2761.57386+3942.73598</f>
        <v>7302.0398000000005</v>
      </c>
      <c r="N36" s="212">
        <f>M36/L36</f>
        <v>0.999926573855582</v>
      </c>
      <c r="O36" s="110">
        <v>740.968</v>
      </c>
      <c r="P36" s="110">
        <v>228.16482</v>
      </c>
      <c r="Q36" s="335">
        <f>P36/O36</f>
        <v>0.3079280346789605</v>
      </c>
      <c r="R36" s="112">
        <v>0</v>
      </c>
      <c r="S36" s="110">
        <v>0</v>
      </c>
      <c r="T36" s="212">
        <v>0</v>
      </c>
    </row>
    <row r="37" spans="1:20" ht="175.5" customHeight="1">
      <c r="A37" s="86">
        <v>24</v>
      </c>
      <c r="B37" s="107" t="s">
        <v>43</v>
      </c>
      <c r="C37" s="111" t="s">
        <v>136</v>
      </c>
      <c r="D37" s="253" t="s">
        <v>137</v>
      </c>
      <c r="E37" s="236">
        <f>SUM(I37+L37+O37+R37)</f>
        <v>10000</v>
      </c>
      <c r="F37" s="110">
        <f aca="true" t="shared" si="11" ref="F37:F42">J37+M37+P37+S37</f>
        <v>10000</v>
      </c>
      <c r="G37" s="237">
        <f t="shared" si="8"/>
        <v>1</v>
      </c>
      <c r="H37" s="112">
        <v>6900</v>
      </c>
      <c r="I37" s="112">
        <v>6900</v>
      </c>
      <c r="J37" s="357">
        <v>6900</v>
      </c>
      <c r="K37" s="195">
        <f t="shared" si="1"/>
        <v>1</v>
      </c>
      <c r="L37" s="89">
        <v>3100</v>
      </c>
      <c r="M37" s="357">
        <v>3100</v>
      </c>
      <c r="N37" s="212">
        <f t="shared" si="10"/>
        <v>1</v>
      </c>
      <c r="O37" s="109">
        <v>0</v>
      </c>
      <c r="P37" s="110">
        <v>0</v>
      </c>
      <c r="Q37" s="335">
        <v>0</v>
      </c>
      <c r="R37" s="112">
        <v>0</v>
      </c>
      <c r="S37" s="110">
        <v>0</v>
      </c>
      <c r="T37" s="212">
        <v>0</v>
      </c>
    </row>
    <row r="38" spans="1:20" ht="347.25" customHeight="1">
      <c r="A38" s="113">
        <v>25</v>
      </c>
      <c r="B38" s="114" t="s">
        <v>73</v>
      </c>
      <c r="C38" s="254" t="s">
        <v>138</v>
      </c>
      <c r="D38" s="255" t="s">
        <v>139</v>
      </c>
      <c r="E38" s="256">
        <f>SUM(I38+L38+O38+R38)</f>
        <v>49.35</v>
      </c>
      <c r="F38" s="110">
        <f t="shared" si="11"/>
        <v>0</v>
      </c>
      <c r="G38" s="257">
        <f t="shared" si="8"/>
        <v>0</v>
      </c>
      <c r="H38" s="112">
        <v>1184.4</v>
      </c>
      <c r="I38" s="112">
        <v>0</v>
      </c>
      <c r="J38" s="112">
        <v>0</v>
      </c>
      <c r="K38" s="358">
        <v>0</v>
      </c>
      <c r="L38" s="89">
        <v>49.35</v>
      </c>
      <c r="M38" s="61">
        <v>0</v>
      </c>
      <c r="N38" s="211">
        <f t="shared" si="10"/>
        <v>0</v>
      </c>
      <c r="O38" s="117">
        <v>0</v>
      </c>
      <c r="P38" s="116">
        <v>0</v>
      </c>
      <c r="Q38" s="334">
        <v>0</v>
      </c>
      <c r="R38" s="115">
        <v>0</v>
      </c>
      <c r="S38" s="116">
        <v>0</v>
      </c>
      <c r="T38" s="211">
        <v>0</v>
      </c>
    </row>
    <row r="39" spans="1:20" ht="84" customHeight="1">
      <c r="A39" s="118">
        <v>26</v>
      </c>
      <c r="B39" s="73" t="s">
        <v>218</v>
      </c>
      <c r="C39" s="258" t="s">
        <v>219</v>
      </c>
      <c r="D39" s="259" t="s">
        <v>220</v>
      </c>
      <c r="E39" s="236">
        <f t="shared" si="9"/>
        <v>28983.524180526318</v>
      </c>
      <c r="F39" s="87">
        <f t="shared" si="11"/>
        <v>28983.524178947373</v>
      </c>
      <c r="G39" s="237">
        <f t="shared" si="8"/>
        <v>0.9999999999455227</v>
      </c>
      <c r="H39" s="89">
        <v>18998.7</v>
      </c>
      <c r="I39" s="87">
        <v>18998.7</v>
      </c>
      <c r="J39" s="87">
        <v>18998.7</v>
      </c>
      <c r="K39" s="212">
        <f>J39/I39</f>
        <v>1</v>
      </c>
      <c r="L39" s="89">
        <v>8535.64797</v>
      </c>
      <c r="M39" s="87">
        <v>8535.64797</v>
      </c>
      <c r="N39" s="212">
        <f t="shared" si="10"/>
        <v>1</v>
      </c>
      <c r="O39" s="88">
        <f>27534.348*5%/95%</f>
        <v>1449.176210526316</v>
      </c>
      <c r="P39" s="87">
        <f>(J39+M39)*5%/95%</f>
        <v>1449.1762089473687</v>
      </c>
      <c r="Q39" s="335">
        <f>SUM(P39/O39)</f>
        <v>0.9999999989104518</v>
      </c>
      <c r="R39" s="119">
        <v>0</v>
      </c>
      <c r="S39" s="120">
        <v>0</v>
      </c>
      <c r="T39" s="212">
        <v>0</v>
      </c>
    </row>
    <row r="40" spans="1:20" ht="77.25" customHeight="1">
      <c r="A40" s="118">
        <v>27</v>
      </c>
      <c r="B40" s="65" t="s">
        <v>43</v>
      </c>
      <c r="C40" s="68" t="s">
        <v>224</v>
      </c>
      <c r="D40" s="260" t="s">
        <v>225</v>
      </c>
      <c r="E40" s="236">
        <f>SUM(I40+L40+O40+R40)</f>
        <v>135820.81840000002</v>
      </c>
      <c r="F40" s="87">
        <f t="shared" si="11"/>
        <v>135801.26499000003</v>
      </c>
      <c r="G40" s="237">
        <f t="shared" si="8"/>
        <v>0.9998560352512205</v>
      </c>
      <c r="H40" s="89">
        <f>286.44+139444.2</f>
        <v>139730.64</v>
      </c>
      <c r="I40" s="87">
        <f>279.89949+135540.91891</f>
        <v>135820.81840000002</v>
      </c>
      <c r="J40" s="87">
        <f>279.89949+135521.3655</f>
        <v>135801.26499000003</v>
      </c>
      <c r="K40" s="212">
        <f>J40/I40</f>
        <v>0.9998560352512205</v>
      </c>
      <c r="L40" s="89">
        <v>0</v>
      </c>
      <c r="M40" s="87">
        <v>0</v>
      </c>
      <c r="N40" s="212">
        <v>0</v>
      </c>
      <c r="O40" s="121">
        <v>0</v>
      </c>
      <c r="P40" s="120">
        <v>0</v>
      </c>
      <c r="Q40" s="335">
        <v>0</v>
      </c>
      <c r="R40" s="119">
        <v>0</v>
      </c>
      <c r="S40" s="120">
        <v>0</v>
      </c>
      <c r="T40" s="212">
        <v>0</v>
      </c>
    </row>
    <row r="41" spans="1:20" ht="77.25" customHeight="1">
      <c r="A41" s="118">
        <v>28</v>
      </c>
      <c r="B41" s="65" t="s">
        <v>73</v>
      </c>
      <c r="C41" s="68" t="s">
        <v>248</v>
      </c>
      <c r="D41" s="260" t="s">
        <v>249</v>
      </c>
      <c r="E41" s="236">
        <f t="shared" si="9"/>
        <v>483674.663</v>
      </c>
      <c r="F41" s="87">
        <f t="shared" si="11"/>
        <v>483387.813</v>
      </c>
      <c r="G41" s="237">
        <f>F41/E41</f>
        <v>0.9994069360627229</v>
      </c>
      <c r="H41" s="112">
        <v>470936.7</v>
      </c>
      <c r="I41" s="112">
        <v>464052.303</v>
      </c>
      <c r="J41" s="112">
        <v>464052.303</v>
      </c>
      <c r="K41" s="212">
        <f>J41/I41</f>
        <v>1</v>
      </c>
      <c r="L41" s="261">
        <v>19622.36</v>
      </c>
      <c r="M41" s="110">
        <v>19335.51</v>
      </c>
      <c r="N41" s="212">
        <f t="shared" si="10"/>
        <v>0.9853814729726699</v>
      </c>
      <c r="O41" s="121">
        <v>0</v>
      </c>
      <c r="P41" s="120">
        <v>0</v>
      </c>
      <c r="Q41" s="335">
        <v>0</v>
      </c>
      <c r="R41" s="119">
        <v>0</v>
      </c>
      <c r="S41" s="120">
        <v>0</v>
      </c>
      <c r="T41" s="212">
        <v>0</v>
      </c>
    </row>
    <row r="42" spans="1:20" ht="77.25" customHeight="1" thickBot="1">
      <c r="A42" s="184">
        <v>29</v>
      </c>
      <c r="B42" s="199" t="s">
        <v>43</v>
      </c>
      <c r="C42" s="200" t="s">
        <v>247</v>
      </c>
      <c r="D42" s="262" t="s">
        <v>246</v>
      </c>
      <c r="E42" s="72">
        <f t="shared" si="9"/>
        <v>201300.6561</v>
      </c>
      <c r="F42" s="48">
        <f t="shared" si="11"/>
        <v>163767.80521999998</v>
      </c>
      <c r="G42" s="263">
        <f t="shared" si="8"/>
        <v>0.8135482933480612</v>
      </c>
      <c r="H42" s="112">
        <v>142490.5</v>
      </c>
      <c r="I42" s="356">
        <v>112999.7851</v>
      </c>
      <c r="J42" s="356">
        <f>I42</f>
        <v>112999.7851</v>
      </c>
      <c r="K42" s="213">
        <f>J42/I42</f>
        <v>1</v>
      </c>
      <c r="L42" s="87">
        <v>64014.472</v>
      </c>
      <c r="M42" s="357">
        <v>50768.02012</v>
      </c>
      <c r="N42" s="183">
        <f t="shared" si="10"/>
        <v>0.7930709811993762</v>
      </c>
      <c r="O42" s="123">
        <v>24286.399</v>
      </c>
      <c r="P42" s="50">
        <v>0</v>
      </c>
      <c r="Q42" s="336">
        <v>0</v>
      </c>
      <c r="R42" s="122">
        <v>0</v>
      </c>
      <c r="S42" s="50">
        <v>0</v>
      </c>
      <c r="T42" s="183">
        <v>0</v>
      </c>
    </row>
    <row r="43" spans="1:20" ht="51" customHeight="1">
      <c r="A43" s="98"/>
      <c r="B43" s="99"/>
      <c r="C43" s="100" t="s">
        <v>37</v>
      </c>
      <c r="D43" s="264" t="s">
        <v>28</v>
      </c>
      <c r="E43" s="265"/>
      <c r="F43" s="266"/>
      <c r="G43" s="267"/>
      <c r="H43" s="104"/>
      <c r="I43" s="101"/>
      <c r="J43" s="101"/>
      <c r="K43" s="195"/>
      <c r="L43" s="104"/>
      <c r="M43" s="101"/>
      <c r="N43" s="103"/>
      <c r="O43" s="102"/>
      <c r="P43" s="101"/>
      <c r="Q43" s="103"/>
      <c r="R43" s="104"/>
      <c r="S43" s="101"/>
      <c r="T43" s="103"/>
    </row>
    <row r="44" spans="1:20" ht="90">
      <c r="A44" s="124">
        <v>30</v>
      </c>
      <c r="B44" s="125" t="s">
        <v>140</v>
      </c>
      <c r="C44" s="108" t="s">
        <v>141</v>
      </c>
      <c r="D44" s="268" t="s">
        <v>142</v>
      </c>
      <c r="E44" s="236">
        <f aca="true" t="shared" si="12" ref="E44:E49">SUM(I44+L44+O44+R44)</f>
        <v>886638.37562</v>
      </c>
      <c r="F44" s="110">
        <f aca="true" t="shared" si="13" ref="F44:F52">J44+M44+P44+S44</f>
        <v>884108.3558399999</v>
      </c>
      <c r="G44" s="237">
        <f aca="true" t="shared" si="14" ref="G44:G49">F44/E44</f>
        <v>0.997146503186002</v>
      </c>
      <c r="H44" s="89">
        <v>615666.1</v>
      </c>
      <c r="I44" s="87">
        <v>610034.76548</v>
      </c>
      <c r="J44" s="87">
        <v>610034.76548</v>
      </c>
      <c r="K44" s="212">
        <f aca="true" t="shared" si="15" ref="K44:K49">J44/I44</f>
        <v>1</v>
      </c>
      <c r="L44" s="89">
        <v>276603.61014</v>
      </c>
      <c r="M44" s="87">
        <v>274073.59036</v>
      </c>
      <c r="N44" s="212">
        <f>SUM(M44/L44)</f>
        <v>0.9908532655133478</v>
      </c>
      <c r="O44" s="109">
        <v>0</v>
      </c>
      <c r="P44" s="110">
        <v>0</v>
      </c>
      <c r="Q44" s="335">
        <v>0</v>
      </c>
      <c r="R44" s="112">
        <v>0</v>
      </c>
      <c r="S44" s="110">
        <v>0</v>
      </c>
      <c r="T44" s="212">
        <v>0</v>
      </c>
    </row>
    <row r="45" spans="1:20" ht="90">
      <c r="A45" s="86">
        <v>31</v>
      </c>
      <c r="B45" s="64" t="s">
        <v>140</v>
      </c>
      <c r="C45" s="68" t="s">
        <v>206</v>
      </c>
      <c r="D45" s="268" t="s">
        <v>207</v>
      </c>
      <c r="E45" s="236">
        <f t="shared" si="12"/>
        <v>80950.435</v>
      </c>
      <c r="F45" s="110">
        <f t="shared" si="13"/>
        <v>80950.43478000001</v>
      </c>
      <c r="G45" s="237">
        <f t="shared" si="14"/>
        <v>0.9999999972822877</v>
      </c>
      <c r="H45" s="89">
        <v>55855.8</v>
      </c>
      <c r="I45" s="87">
        <v>55855.8</v>
      </c>
      <c r="J45" s="87">
        <v>55855.8</v>
      </c>
      <c r="K45" s="212">
        <f t="shared" si="15"/>
        <v>1</v>
      </c>
      <c r="L45" s="89">
        <v>25094.635</v>
      </c>
      <c r="M45" s="87">
        <v>25094.63478</v>
      </c>
      <c r="N45" s="212">
        <f>SUM(M45/L45)</f>
        <v>0.999999991233186</v>
      </c>
      <c r="O45" s="109">
        <v>0</v>
      </c>
      <c r="P45" s="110">
        <v>0</v>
      </c>
      <c r="Q45" s="335">
        <v>0</v>
      </c>
      <c r="R45" s="112">
        <v>0</v>
      </c>
      <c r="S45" s="110">
        <v>0</v>
      </c>
      <c r="T45" s="212">
        <v>0</v>
      </c>
    </row>
    <row r="46" spans="1:20" ht="120">
      <c r="A46" s="124">
        <v>32</v>
      </c>
      <c r="B46" s="66" t="s">
        <v>140</v>
      </c>
      <c r="C46" s="67" t="s">
        <v>237</v>
      </c>
      <c r="D46" s="262" t="s">
        <v>238</v>
      </c>
      <c r="E46" s="72">
        <f t="shared" si="12"/>
        <v>715374.058</v>
      </c>
      <c r="F46" s="269">
        <f t="shared" si="13"/>
        <v>715374.058</v>
      </c>
      <c r="G46" s="240">
        <f t="shared" si="14"/>
        <v>1</v>
      </c>
      <c r="H46" s="89">
        <v>493608.1</v>
      </c>
      <c r="I46" s="87">
        <v>493608.1</v>
      </c>
      <c r="J46" s="87">
        <v>493608.1</v>
      </c>
      <c r="K46" s="212">
        <f t="shared" si="15"/>
        <v>1</v>
      </c>
      <c r="L46" s="89">
        <v>221765.958</v>
      </c>
      <c r="M46" s="87">
        <v>221765.958</v>
      </c>
      <c r="N46" s="212">
        <f>SUM(M46/L46)</f>
        <v>1</v>
      </c>
      <c r="O46" s="109">
        <v>0</v>
      </c>
      <c r="P46" s="110">
        <v>0</v>
      </c>
      <c r="Q46" s="335">
        <v>0</v>
      </c>
      <c r="R46" s="112">
        <v>0</v>
      </c>
      <c r="S46" s="110">
        <v>0</v>
      </c>
      <c r="T46" s="212">
        <v>0</v>
      </c>
    </row>
    <row r="47" spans="1:20" ht="135">
      <c r="A47" s="86">
        <v>33</v>
      </c>
      <c r="B47" s="65" t="s">
        <v>140</v>
      </c>
      <c r="C47" s="68" t="s">
        <v>239</v>
      </c>
      <c r="D47" s="259" t="s">
        <v>240</v>
      </c>
      <c r="E47" s="236">
        <f t="shared" si="12"/>
        <v>862862.40689</v>
      </c>
      <c r="F47" s="110">
        <f t="shared" si="13"/>
        <v>854321.38857</v>
      </c>
      <c r="G47" s="237">
        <f t="shared" si="14"/>
        <v>0.990101529222041</v>
      </c>
      <c r="H47" s="89">
        <v>608484.1</v>
      </c>
      <c r="I47" s="87">
        <v>589485.50689</v>
      </c>
      <c r="J47" s="87">
        <v>589481.76704</v>
      </c>
      <c r="K47" s="212">
        <f t="shared" si="15"/>
        <v>0.9999936557388497</v>
      </c>
      <c r="L47" s="89">
        <v>273376.9</v>
      </c>
      <c r="M47" s="87">
        <v>264839.62153</v>
      </c>
      <c r="N47" s="212">
        <f>SUM(M47/L47)</f>
        <v>0.9687710319708797</v>
      </c>
      <c r="O47" s="109">
        <v>0</v>
      </c>
      <c r="P47" s="110">
        <v>0</v>
      </c>
      <c r="Q47" s="335">
        <v>0</v>
      </c>
      <c r="R47" s="112">
        <v>0</v>
      </c>
      <c r="S47" s="110">
        <v>0</v>
      </c>
      <c r="T47" s="212">
        <v>0</v>
      </c>
    </row>
    <row r="48" spans="1:20" ht="299.25">
      <c r="A48" s="124">
        <v>34</v>
      </c>
      <c r="B48" s="66" t="s">
        <v>241</v>
      </c>
      <c r="C48" s="67" t="s">
        <v>242</v>
      </c>
      <c r="D48" s="270" t="s">
        <v>243</v>
      </c>
      <c r="E48" s="236">
        <f t="shared" si="12"/>
        <v>125642.58101</v>
      </c>
      <c r="F48" s="110">
        <f t="shared" si="13"/>
        <v>125642.58101</v>
      </c>
      <c r="G48" s="237">
        <f t="shared" si="14"/>
        <v>1</v>
      </c>
      <c r="H48" s="89">
        <v>125642.581</v>
      </c>
      <c r="I48" s="87">
        <v>125642.58101</v>
      </c>
      <c r="J48" s="87">
        <v>125642.58101</v>
      </c>
      <c r="K48" s="212">
        <f t="shared" si="15"/>
        <v>1</v>
      </c>
      <c r="L48" s="89">
        <v>0</v>
      </c>
      <c r="M48" s="87">
        <v>0</v>
      </c>
      <c r="N48" s="212">
        <v>0</v>
      </c>
      <c r="O48" s="109">
        <v>0</v>
      </c>
      <c r="P48" s="110">
        <v>0</v>
      </c>
      <c r="Q48" s="335">
        <v>0</v>
      </c>
      <c r="R48" s="112">
        <v>0</v>
      </c>
      <c r="S48" s="110">
        <v>0</v>
      </c>
      <c r="T48" s="212">
        <v>0</v>
      </c>
    </row>
    <row r="49" spans="1:20" ht="142.5" thickBot="1">
      <c r="A49" s="93">
        <v>35</v>
      </c>
      <c r="B49" s="51" t="s">
        <v>241</v>
      </c>
      <c r="C49" s="69" t="s">
        <v>244</v>
      </c>
      <c r="D49" s="271" t="s">
        <v>245</v>
      </c>
      <c r="E49" s="246">
        <f t="shared" si="12"/>
        <v>6549.29</v>
      </c>
      <c r="F49" s="196">
        <f t="shared" si="13"/>
        <v>6549.28964</v>
      </c>
      <c r="G49" s="247">
        <f t="shared" si="14"/>
        <v>0.9999999450322096</v>
      </c>
      <c r="H49" s="97">
        <v>7597</v>
      </c>
      <c r="I49" s="95">
        <v>6549.29</v>
      </c>
      <c r="J49" s="95">
        <v>6549.28964</v>
      </c>
      <c r="K49" s="191">
        <f t="shared" si="15"/>
        <v>0.9999999450322096</v>
      </c>
      <c r="L49" s="97">
        <v>0</v>
      </c>
      <c r="M49" s="95">
        <v>0</v>
      </c>
      <c r="N49" s="191">
        <v>0</v>
      </c>
      <c r="O49" s="198">
        <v>0</v>
      </c>
      <c r="P49" s="196">
        <v>0</v>
      </c>
      <c r="Q49" s="345">
        <v>0</v>
      </c>
      <c r="R49" s="197">
        <v>0</v>
      </c>
      <c r="S49" s="196">
        <v>0</v>
      </c>
      <c r="T49" s="191">
        <v>0</v>
      </c>
    </row>
    <row r="50" spans="1:20" ht="50.25" customHeight="1">
      <c r="A50" s="126"/>
      <c r="B50" s="83"/>
      <c r="C50" s="127" t="s">
        <v>38</v>
      </c>
      <c r="D50" s="272" t="s">
        <v>204</v>
      </c>
      <c r="E50" s="72"/>
      <c r="F50" s="273"/>
      <c r="G50" s="240"/>
      <c r="H50" s="205"/>
      <c r="I50" s="128"/>
      <c r="J50" s="128"/>
      <c r="K50" s="211"/>
      <c r="L50" s="205"/>
      <c r="M50" s="129"/>
      <c r="N50" s="130"/>
      <c r="O50" s="222"/>
      <c r="P50" s="129"/>
      <c r="Q50" s="130"/>
      <c r="R50" s="85"/>
      <c r="S50" s="61"/>
      <c r="T50" s="62"/>
    </row>
    <row r="51" spans="1:20" ht="63" customHeight="1">
      <c r="A51" s="86">
        <v>36</v>
      </c>
      <c r="B51" s="65" t="s">
        <v>23</v>
      </c>
      <c r="C51" s="68" t="s">
        <v>221</v>
      </c>
      <c r="D51" s="260" t="s">
        <v>195</v>
      </c>
      <c r="E51" s="236">
        <f>SUM(I51+L51+O51+R51)</f>
        <v>7611.64901</v>
      </c>
      <c r="F51" s="110">
        <f t="shared" si="13"/>
        <v>7611.64901</v>
      </c>
      <c r="G51" s="237">
        <f>F51/E51</f>
        <v>1</v>
      </c>
      <c r="H51" s="119">
        <f>191+2583.6+2392.6</f>
        <v>5167.2</v>
      </c>
      <c r="I51" s="120">
        <f>191+2583.55463+2392.55463</f>
        <v>5167.10926</v>
      </c>
      <c r="J51" s="120">
        <f>191+2583.55463+2392.55463</f>
        <v>5167.10926</v>
      </c>
      <c r="K51" s="212">
        <f>J51/I51</f>
        <v>1</v>
      </c>
      <c r="L51" s="119">
        <f>147.28855+1222.27+1074.9812</f>
        <v>2444.53975</v>
      </c>
      <c r="M51" s="120">
        <f>147.28855+1222.27+1074.9812</f>
        <v>2444.53975</v>
      </c>
      <c r="N51" s="212">
        <f>SUM(M51/L51)</f>
        <v>1</v>
      </c>
      <c r="O51" s="133">
        <v>0</v>
      </c>
      <c r="P51" s="132">
        <v>0</v>
      </c>
      <c r="Q51" s="335">
        <v>0</v>
      </c>
      <c r="R51" s="131">
        <v>0</v>
      </c>
      <c r="S51" s="132">
        <v>0</v>
      </c>
      <c r="T51" s="212">
        <v>0</v>
      </c>
    </row>
    <row r="52" spans="1:20" s="36" customFormat="1" ht="61.5" customHeight="1" thickBot="1">
      <c r="A52" s="93">
        <v>37</v>
      </c>
      <c r="B52" s="51" t="s">
        <v>177</v>
      </c>
      <c r="C52" s="134" t="s">
        <v>178</v>
      </c>
      <c r="D52" s="274" t="s">
        <v>93</v>
      </c>
      <c r="E52" s="246">
        <f>SUM(I52+L52+O52+R52)</f>
        <v>12090.02512</v>
      </c>
      <c r="F52" s="196">
        <f t="shared" si="13"/>
        <v>12067.25478</v>
      </c>
      <c r="G52" s="247">
        <f>F52/E52</f>
        <v>0.9981166011009909</v>
      </c>
      <c r="H52" s="173">
        <f>1035+7238.6</f>
        <v>8273.6</v>
      </c>
      <c r="I52" s="136">
        <f>1035.00244+7187.92268</f>
        <v>8222.92512</v>
      </c>
      <c r="J52" s="136">
        <f>1035.00244+7187.92268</f>
        <v>8222.92512</v>
      </c>
      <c r="K52" s="191">
        <f>J52/I52</f>
        <v>1</v>
      </c>
      <c r="L52" s="173">
        <f>465+3252.1</f>
        <v>3717.1</v>
      </c>
      <c r="M52" s="136">
        <f>464.99756+3229.3321</f>
        <v>3694.3296600000003</v>
      </c>
      <c r="N52" s="191">
        <f>SUM(M52/L52)</f>
        <v>0.993874165343951</v>
      </c>
      <c r="O52" s="96">
        <v>150</v>
      </c>
      <c r="P52" s="95">
        <v>150</v>
      </c>
      <c r="Q52" s="345">
        <f>SUM(P52/O52)</f>
        <v>1</v>
      </c>
      <c r="R52" s="216">
        <v>0</v>
      </c>
      <c r="S52" s="137">
        <v>0</v>
      </c>
      <c r="T52" s="191">
        <v>0</v>
      </c>
    </row>
    <row r="53" spans="1:20" ht="90" customHeight="1">
      <c r="A53" s="82"/>
      <c r="B53" s="66"/>
      <c r="C53" s="76" t="s">
        <v>39</v>
      </c>
      <c r="D53" s="275" t="s">
        <v>33</v>
      </c>
      <c r="E53" s="72"/>
      <c r="F53" s="48"/>
      <c r="G53" s="240"/>
      <c r="H53" s="90"/>
      <c r="I53" s="48"/>
      <c r="J53" s="48"/>
      <c r="K53" s="183"/>
      <c r="L53" s="90"/>
      <c r="M53" s="48"/>
      <c r="N53" s="138"/>
      <c r="O53" s="49"/>
      <c r="P53" s="48"/>
      <c r="Q53" s="138"/>
      <c r="R53" s="90"/>
      <c r="S53" s="48"/>
      <c r="T53" s="138"/>
    </row>
    <row r="54" spans="1:20" ht="165">
      <c r="A54" s="86">
        <v>38</v>
      </c>
      <c r="B54" s="73" t="s">
        <v>29</v>
      </c>
      <c r="C54" s="258" t="s">
        <v>61</v>
      </c>
      <c r="D54" s="276" t="s">
        <v>145</v>
      </c>
      <c r="E54" s="72">
        <f>SUM(I54+L54+O54+R54)</f>
        <v>465867.901</v>
      </c>
      <c r="F54" s="132">
        <f>J54+M54+P54+S54</f>
        <v>346389.32</v>
      </c>
      <c r="G54" s="237">
        <f aca="true" t="shared" si="16" ref="G54:G60">F54/E54</f>
        <v>0.7435354941958107</v>
      </c>
      <c r="H54" s="119">
        <v>21175.8</v>
      </c>
      <c r="I54" s="120">
        <v>19970.39</v>
      </c>
      <c r="J54" s="120">
        <v>19970.39</v>
      </c>
      <c r="K54" s="212">
        <f aca="true" t="shared" si="17" ref="K54:K60">J54/I54</f>
        <v>1</v>
      </c>
      <c r="L54" s="119">
        <v>110000</v>
      </c>
      <c r="M54" s="120">
        <v>103738.36</v>
      </c>
      <c r="N54" s="212">
        <f>M54/L54</f>
        <v>0.943076</v>
      </c>
      <c r="O54" s="88">
        <v>32299.859</v>
      </c>
      <c r="P54" s="87">
        <v>30927.19</v>
      </c>
      <c r="Q54" s="335">
        <f>P54/O54</f>
        <v>0.9575023222237595</v>
      </c>
      <c r="R54" s="89">
        <v>303597.652</v>
      </c>
      <c r="S54" s="87">
        <v>191753.38</v>
      </c>
      <c r="T54" s="212">
        <f>SUM(S54/R54)</f>
        <v>0.6316036330873863</v>
      </c>
    </row>
    <row r="55" spans="1:20" ht="45">
      <c r="A55" s="86">
        <v>39</v>
      </c>
      <c r="B55" s="73" t="s">
        <v>40</v>
      </c>
      <c r="C55" s="258" t="s">
        <v>62</v>
      </c>
      <c r="D55" s="277" t="s">
        <v>63</v>
      </c>
      <c r="E55" s="236">
        <f aca="true" t="shared" si="18" ref="E55:E60">SUM(I55+L55+O55+R55)</f>
        <v>1037931.39</v>
      </c>
      <c r="F55" s="48">
        <f aca="true" t="shared" si="19" ref="F55:F60">J55+M55+P55+S55</f>
        <v>1037737.78</v>
      </c>
      <c r="G55" s="237">
        <f t="shared" si="16"/>
        <v>0.9998134655123977</v>
      </c>
      <c r="H55" s="119">
        <v>1000874.74</v>
      </c>
      <c r="I55" s="120">
        <v>996228.27</v>
      </c>
      <c r="J55" s="120">
        <v>996228.27</v>
      </c>
      <c r="K55" s="212">
        <f t="shared" si="17"/>
        <v>1</v>
      </c>
      <c r="L55" s="119">
        <v>31277.34</v>
      </c>
      <c r="M55" s="120">
        <v>31132.13</v>
      </c>
      <c r="N55" s="212">
        <f>M55/L55</f>
        <v>0.9953573417688333</v>
      </c>
      <c r="O55" s="88">
        <v>10425.78</v>
      </c>
      <c r="P55" s="87">
        <v>10377.38</v>
      </c>
      <c r="Q55" s="335">
        <f>P55/O55</f>
        <v>0.9953576614891163</v>
      </c>
      <c r="R55" s="89">
        <v>0</v>
      </c>
      <c r="S55" s="87">
        <v>0</v>
      </c>
      <c r="T55" s="212">
        <v>0</v>
      </c>
    </row>
    <row r="56" spans="1:20" ht="315">
      <c r="A56" s="86">
        <v>40</v>
      </c>
      <c r="B56" s="73" t="s">
        <v>143</v>
      </c>
      <c r="C56" s="258" t="s">
        <v>259</v>
      </c>
      <c r="D56" s="277" t="s">
        <v>144</v>
      </c>
      <c r="E56" s="236">
        <f t="shared" si="18"/>
        <v>282809.89999999997</v>
      </c>
      <c r="F56" s="87">
        <f t="shared" si="19"/>
        <v>282809.89999999997</v>
      </c>
      <c r="G56" s="237">
        <f t="shared" si="16"/>
        <v>1</v>
      </c>
      <c r="H56" s="119">
        <v>271497.5</v>
      </c>
      <c r="I56" s="120">
        <v>271497.5</v>
      </c>
      <c r="J56" s="120">
        <v>271497.5</v>
      </c>
      <c r="K56" s="212">
        <f t="shared" si="17"/>
        <v>1</v>
      </c>
      <c r="L56" s="119">
        <v>2543.10078</v>
      </c>
      <c r="M56" s="120">
        <v>2543.10078</v>
      </c>
      <c r="N56" s="212">
        <f>M56/L56</f>
        <v>1</v>
      </c>
      <c r="O56" s="88">
        <v>8769.29922</v>
      </c>
      <c r="P56" s="87">
        <v>8769.29922</v>
      </c>
      <c r="Q56" s="335">
        <f>P56/O56</f>
        <v>1</v>
      </c>
      <c r="R56" s="89">
        <v>0</v>
      </c>
      <c r="S56" s="87">
        <v>0</v>
      </c>
      <c r="T56" s="212">
        <v>0</v>
      </c>
    </row>
    <row r="57" spans="1:20" ht="120">
      <c r="A57" s="86">
        <v>41</v>
      </c>
      <c r="B57" s="65" t="s">
        <v>143</v>
      </c>
      <c r="C57" s="258" t="s">
        <v>226</v>
      </c>
      <c r="D57" s="277" t="s">
        <v>227</v>
      </c>
      <c r="E57" s="236">
        <f t="shared" si="18"/>
        <v>172240</v>
      </c>
      <c r="F57" s="87">
        <f t="shared" si="19"/>
        <v>172240</v>
      </c>
      <c r="G57" s="237">
        <f t="shared" si="16"/>
        <v>1</v>
      </c>
      <c r="H57" s="119">
        <v>172240</v>
      </c>
      <c r="I57" s="120">
        <v>172240</v>
      </c>
      <c r="J57" s="120">
        <v>172240</v>
      </c>
      <c r="K57" s="212">
        <f t="shared" si="17"/>
        <v>1</v>
      </c>
      <c r="L57" s="119">
        <v>0</v>
      </c>
      <c r="M57" s="120">
        <v>0</v>
      </c>
      <c r="N57" s="212">
        <v>0</v>
      </c>
      <c r="O57" s="88">
        <v>0</v>
      </c>
      <c r="P57" s="87">
        <v>0</v>
      </c>
      <c r="Q57" s="335">
        <v>0</v>
      </c>
      <c r="R57" s="89">
        <v>0</v>
      </c>
      <c r="S57" s="87">
        <v>0</v>
      </c>
      <c r="T57" s="212">
        <v>0</v>
      </c>
    </row>
    <row r="58" spans="1:20" ht="60">
      <c r="A58" s="86">
        <v>42</v>
      </c>
      <c r="B58" s="73" t="s">
        <v>175</v>
      </c>
      <c r="C58" s="258" t="s">
        <v>176</v>
      </c>
      <c r="D58" s="277" t="s">
        <v>92</v>
      </c>
      <c r="E58" s="236">
        <f t="shared" si="18"/>
        <v>13946.087</v>
      </c>
      <c r="F58" s="87">
        <f t="shared" si="19"/>
        <v>13946.087</v>
      </c>
      <c r="G58" s="237">
        <f t="shared" si="16"/>
        <v>1</v>
      </c>
      <c r="H58" s="119">
        <v>9622.8</v>
      </c>
      <c r="I58" s="120">
        <v>9622.8</v>
      </c>
      <c r="J58" s="120">
        <v>9622.8</v>
      </c>
      <c r="K58" s="212">
        <f t="shared" si="17"/>
        <v>1</v>
      </c>
      <c r="L58" s="119">
        <v>4323.287</v>
      </c>
      <c r="M58" s="120">
        <v>4323.287</v>
      </c>
      <c r="N58" s="212">
        <f>SUM(M58/L58)</f>
        <v>1</v>
      </c>
      <c r="O58" s="88">
        <v>0</v>
      </c>
      <c r="P58" s="87">
        <v>0</v>
      </c>
      <c r="Q58" s="335">
        <v>0</v>
      </c>
      <c r="R58" s="89">
        <v>0</v>
      </c>
      <c r="S58" s="87">
        <v>0</v>
      </c>
      <c r="T58" s="212">
        <v>0</v>
      </c>
    </row>
    <row r="59" spans="1:20" ht="60">
      <c r="A59" s="86">
        <v>43</v>
      </c>
      <c r="B59" s="66" t="s">
        <v>250</v>
      </c>
      <c r="C59" s="67" t="s">
        <v>251</v>
      </c>
      <c r="D59" s="278" t="s">
        <v>252</v>
      </c>
      <c r="E59" s="72">
        <f t="shared" si="18"/>
        <v>38209.79</v>
      </c>
      <c r="F59" s="48">
        <f t="shared" si="19"/>
        <v>38209.8</v>
      </c>
      <c r="G59" s="240">
        <f t="shared" si="16"/>
        <v>1.0000002617130321</v>
      </c>
      <c r="H59" s="119">
        <f>1169.243+1377.4+25261.2+88353.8</f>
        <v>116161.64300000001</v>
      </c>
      <c r="I59" s="120">
        <v>38209.79</v>
      </c>
      <c r="J59" s="120">
        <v>38209.8</v>
      </c>
      <c r="K59" s="183">
        <f t="shared" si="17"/>
        <v>1.0000002617130321</v>
      </c>
      <c r="L59" s="122">
        <v>0</v>
      </c>
      <c r="M59" s="50">
        <v>0</v>
      </c>
      <c r="N59" s="183">
        <v>0</v>
      </c>
      <c r="O59" s="49">
        <v>0</v>
      </c>
      <c r="P59" s="48">
        <v>0</v>
      </c>
      <c r="Q59" s="336">
        <v>0</v>
      </c>
      <c r="R59" s="90">
        <v>0</v>
      </c>
      <c r="S59" s="48">
        <v>0</v>
      </c>
      <c r="T59" s="183">
        <v>0</v>
      </c>
    </row>
    <row r="60" spans="1:20" ht="48" thickBot="1">
      <c r="A60" s="93">
        <v>44</v>
      </c>
      <c r="B60" s="51" t="s">
        <v>250</v>
      </c>
      <c r="C60" s="69" t="s">
        <v>253</v>
      </c>
      <c r="D60" s="279" t="s">
        <v>254</v>
      </c>
      <c r="E60" s="246">
        <f t="shared" si="18"/>
        <v>40824.5</v>
      </c>
      <c r="F60" s="95">
        <f t="shared" si="19"/>
        <v>40824.5</v>
      </c>
      <c r="G60" s="247">
        <f t="shared" si="16"/>
        <v>1</v>
      </c>
      <c r="H60" s="173">
        <v>40824.5</v>
      </c>
      <c r="I60" s="136">
        <v>40824.5</v>
      </c>
      <c r="J60" s="136">
        <v>40824.5</v>
      </c>
      <c r="K60" s="191">
        <f t="shared" si="17"/>
        <v>1</v>
      </c>
      <c r="L60" s="173">
        <v>0</v>
      </c>
      <c r="M60" s="136">
        <v>0</v>
      </c>
      <c r="N60" s="191">
        <v>0</v>
      </c>
      <c r="O60" s="96">
        <v>0</v>
      </c>
      <c r="P60" s="95">
        <v>0</v>
      </c>
      <c r="Q60" s="345">
        <v>0</v>
      </c>
      <c r="R60" s="97">
        <v>0</v>
      </c>
      <c r="S60" s="95">
        <v>0</v>
      </c>
      <c r="T60" s="191">
        <v>0</v>
      </c>
    </row>
    <row r="61" spans="1:20" ht="46.5" customHeight="1">
      <c r="A61" s="140"/>
      <c r="B61" s="141"/>
      <c r="C61" s="201" t="s">
        <v>94</v>
      </c>
      <c r="D61" s="275" t="s">
        <v>95</v>
      </c>
      <c r="E61" s="72"/>
      <c r="F61" s="48"/>
      <c r="G61" s="240"/>
      <c r="H61" s="122"/>
      <c r="I61" s="50"/>
      <c r="J61" s="50"/>
      <c r="K61" s="183"/>
      <c r="L61" s="122"/>
      <c r="M61" s="50"/>
      <c r="N61" s="142"/>
      <c r="O61" s="123"/>
      <c r="P61" s="50"/>
      <c r="Q61" s="142"/>
      <c r="R61" s="90"/>
      <c r="S61" s="48"/>
      <c r="T61" s="138"/>
    </row>
    <row r="62" spans="1:20" ht="60" customHeight="1">
      <c r="A62" s="143">
        <v>45</v>
      </c>
      <c r="B62" s="144" t="s">
        <v>232</v>
      </c>
      <c r="C62" s="280" t="s">
        <v>173</v>
      </c>
      <c r="D62" s="281" t="s">
        <v>174</v>
      </c>
      <c r="E62" s="84">
        <f>SUM(I62+L62+O62+R62)</f>
        <v>2324.121</v>
      </c>
      <c r="F62" s="61">
        <f>J62+M62+P62+S62</f>
        <v>2323.4900000000002</v>
      </c>
      <c r="G62" s="234">
        <f>F62/E62</f>
        <v>0.9997284995058348</v>
      </c>
      <c r="H62" s="119">
        <v>2245.7</v>
      </c>
      <c r="I62" s="120">
        <v>2230.55</v>
      </c>
      <c r="J62" s="120">
        <v>2230.55</v>
      </c>
      <c r="K62" s="212">
        <f>J62/I62</f>
        <v>1</v>
      </c>
      <c r="L62" s="119">
        <v>93.571</v>
      </c>
      <c r="M62" s="120">
        <v>92.94</v>
      </c>
      <c r="N62" s="211">
        <f>SUM(M62/L62)</f>
        <v>0.9932564576631648</v>
      </c>
      <c r="O62" s="145">
        <v>0</v>
      </c>
      <c r="P62" s="59">
        <v>0</v>
      </c>
      <c r="Q62" s="334">
        <v>0</v>
      </c>
      <c r="R62" s="70">
        <v>0</v>
      </c>
      <c r="S62" s="59">
        <v>0</v>
      </c>
      <c r="T62" s="211">
        <v>0</v>
      </c>
    </row>
    <row r="63" spans="1:20" ht="30">
      <c r="A63" s="118">
        <v>46</v>
      </c>
      <c r="B63" s="73" t="s">
        <v>168</v>
      </c>
      <c r="C63" s="258" t="s">
        <v>171</v>
      </c>
      <c r="D63" s="277" t="s">
        <v>172</v>
      </c>
      <c r="E63" s="236">
        <f>SUM(I63+L63+O63+R63)</f>
        <v>4874.09</v>
      </c>
      <c r="F63" s="87">
        <f>J63+M63+P63+S63</f>
        <v>4865.02</v>
      </c>
      <c r="G63" s="237">
        <f>F63/E63</f>
        <v>0.9981391398189201</v>
      </c>
      <c r="H63" s="119">
        <v>4888</v>
      </c>
      <c r="I63" s="120">
        <v>4670.42</v>
      </c>
      <c r="J63" s="120">
        <v>4670.42</v>
      </c>
      <c r="K63" s="212">
        <f>J63/I63</f>
        <v>1</v>
      </c>
      <c r="L63" s="119">
        <v>203.67</v>
      </c>
      <c r="M63" s="120">
        <v>194.6</v>
      </c>
      <c r="N63" s="212">
        <f>SUM(M63/L63)</f>
        <v>0.9554671772966072</v>
      </c>
      <c r="O63" s="121">
        <v>0</v>
      </c>
      <c r="P63" s="120">
        <v>0</v>
      </c>
      <c r="Q63" s="335">
        <v>0</v>
      </c>
      <c r="R63" s="119">
        <v>0</v>
      </c>
      <c r="S63" s="120">
        <v>0</v>
      </c>
      <c r="T63" s="212">
        <v>0</v>
      </c>
    </row>
    <row r="64" spans="1:20" ht="90">
      <c r="A64" s="143">
        <v>47</v>
      </c>
      <c r="B64" s="73" t="s">
        <v>232</v>
      </c>
      <c r="C64" s="258" t="s">
        <v>169</v>
      </c>
      <c r="D64" s="277" t="s">
        <v>170</v>
      </c>
      <c r="E64" s="236">
        <f>SUM(I64+L64+O64+R64)</f>
        <v>10594.51</v>
      </c>
      <c r="F64" s="87">
        <f>J64+M64+P64+S64</f>
        <v>10591.119999999999</v>
      </c>
      <c r="G64" s="237">
        <f>F64/E64</f>
        <v>0.9996800229552852</v>
      </c>
      <c r="H64" s="119">
        <v>10248.7</v>
      </c>
      <c r="I64" s="120">
        <v>10167.48</v>
      </c>
      <c r="J64" s="120">
        <v>10167.48</v>
      </c>
      <c r="K64" s="212">
        <f>J64/I64</f>
        <v>1</v>
      </c>
      <c r="L64" s="119">
        <v>427.03</v>
      </c>
      <c r="M64" s="120">
        <v>423.64</v>
      </c>
      <c r="N64" s="212">
        <f>M64/L64</f>
        <v>0.9920614476734656</v>
      </c>
      <c r="O64" s="121">
        <v>0</v>
      </c>
      <c r="P64" s="120">
        <v>0</v>
      </c>
      <c r="Q64" s="335">
        <v>0</v>
      </c>
      <c r="R64" s="119">
        <v>0</v>
      </c>
      <c r="S64" s="120">
        <v>0</v>
      </c>
      <c r="T64" s="212">
        <v>0</v>
      </c>
    </row>
    <row r="65" spans="1:20" ht="150">
      <c r="A65" s="118">
        <v>48</v>
      </c>
      <c r="B65" s="64" t="s">
        <v>232</v>
      </c>
      <c r="C65" s="68" t="s">
        <v>233</v>
      </c>
      <c r="D65" s="259" t="s">
        <v>234</v>
      </c>
      <c r="E65" s="236">
        <f>SUM(I65+L65+O65+R65)</f>
        <v>7678.6</v>
      </c>
      <c r="F65" s="87">
        <f>J65+M65+P65+S65</f>
        <v>7678.39</v>
      </c>
      <c r="G65" s="237">
        <f>F65/E65</f>
        <v>0.9999726512645535</v>
      </c>
      <c r="H65" s="119">
        <v>7376.3</v>
      </c>
      <c r="I65" s="120">
        <v>7371.25</v>
      </c>
      <c r="J65" s="120">
        <v>7371.25</v>
      </c>
      <c r="K65" s="212">
        <f>J65/I65</f>
        <v>1</v>
      </c>
      <c r="L65" s="119">
        <v>307.35</v>
      </c>
      <c r="M65" s="120">
        <v>307.14</v>
      </c>
      <c r="N65" s="212">
        <f>M65/L65</f>
        <v>0.9993167398731088</v>
      </c>
      <c r="O65" s="121">
        <v>0</v>
      </c>
      <c r="P65" s="120">
        <v>0</v>
      </c>
      <c r="Q65" s="335">
        <v>0</v>
      </c>
      <c r="R65" s="119">
        <v>0</v>
      </c>
      <c r="S65" s="120">
        <v>0</v>
      </c>
      <c r="T65" s="212">
        <v>0</v>
      </c>
    </row>
    <row r="66" spans="1:20" ht="150.75" thickBot="1">
      <c r="A66" s="143">
        <v>49</v>
      </c>
      <c r="B66" s="139" t="s">
        <v>168</v>
      </c>
      <c r="C66" s="67" t="s">
        <v>235</v>
      </c>
      <c r="D66" s="282" t="s">
        <v>236</v>
      </c>
      <c r="E66" s="84">
        <f>SUM(I66+L66+O66+R66)</f>
        <v>15796.22</v>
      </c>
      <c r="F66" s="61">
        <f>J66+M66+P66+S66</f>
        <v>15786.43</v>
      </c>
      <c r="G66" s="234">
        <f>F66/E66</f>
        <v>0.9993802314730993</v>
      </c>
      <c r="H66" s="90">
        <v>16597.4</v>
      </c>
      <c r="I66" s="48">
        <v>15628.57</v>
      </c>
      <c r="J66" s="48">
        <v>15628.57</v>
      </c>
      <c r="K66" s="212">
        <f>J66/I66</f>
        <v>1</v>
      </c>
      <c r="L66" s="89">
        <v>167.65</v>
      </c>
      <c r="M66" s="87">
        <v>157.86</v>
      </c>
      <c r="N66" s="213">
        <f>M66/L66</f>
        <v>0.9416045332538027</v>
      </c>
      <c r="O66" s="145">
        <v>0</v>
      </c>
      <c r="P66" s="59">
        <v>0</v>
      </c>
      <c r="Q66" s="334">
        <v>0</v>
      </c>
      <c r="R66" s="70">
        <v>0</v>
      </c>
      <c r="S66" s="59">
        <v>0</v>
      </c>
      <c r="T66" s="211">
        <v>0</v>
      </c>
    </row>
    <row r="67" spans="1:20" ht="71.25">
      <c r="A67" s="98"/>
      <c r="B67" s="99"/>
      <c r="C67" s="147" t="s">
        <v>56</v>
      </c>
      <c r="D67" s="283" t="s">
        <v>55</v>
      </c>
      <c r="E67" s="265"/>
      <c r="F67" s="101"/>
      <c r="G67" s="267"/>
      <c r="H67" s="104"/>
      <c r="I67" s="101"/>
      <c r="J67" s="101"/>
      <c r="K67" s="195"/>
      <c r="L67" s="104"/>
      <c r="M67" s="101"/>
      <c r="N67" s="103"/>
      <c r="O67" s="102"/>
      <c r="P67" s="101"/>
      <c r="Q67" s="103"/>
      <c r="R67" s="104"/>
      <c r="S67" s="101"/>
      <c r="T67" s="103"/>
    </row>
    <row r="68" spans="1:20" ht="128.25" customHeight="1" thickBot="1">
      <c r="A68" s="93">
        <v>50</v>
      </c>
      <c r="B68" s="51" t="s">
        <v>165</v>
      </c>
      <c r="C68" s="69" t="s">
        <v>166</v>
      </c>
      <c r="D68" s="274" t="s">
        <v>167</v>
      </c>
      <c r="E68" s="246">
        <f>SUM(I68+L68+O68+R68)</f>
        <v>5640.5</v>
      </c>
      <c r="F68" s="95">
        <f>J68+M68+P68+S68</f>
        <v>4850</v>
      </c>
      <c r="G68" s="247">
        <f>F68/E68</f>
        <v>0.859852849924652</v>
      </c>
      <c r="H68" s="97">
        <v>5106</v>
      </c>
      <c r="I68" s="95">
        <v>3346.5</v>
      </c>
      <c r="J68" s="95">
        <v>3346.5</v>
      </c>
      <c r="K68" s="191">
        <f>J68/I68</f>
        <v>1</v>
      </c>
      <c r="L68" s="97">
        <v>2294</v>
      </c>
      <c r="M68" s="95">
        <v>1503.5</v>
      </c>
      <c r="N68" s="191">
        <f>SUM(M68/L68)</f>
        <v>0.6554054054054054</v>
      </c>
      <c r="O68" s="135">
        <v>0</v>
      </c>
      <c r="P68" s="136">
        <v>0</v>
      </c>
      <c r="Q68" s="345">
        <v>0</v>
      </c>
      <c r="R68" s="173">
        <v>0</v>
      </c>
      <c r="S68" s="136">
        <v>0</v>
      </c>
      <c r="T68" s="191">
        <v>0</v>
      </c>
    </row>
    <row r="69" spans="1:20" ht="57">
      <c r="A69" s="74"/>
      <c r="B69" s="141"/>
      <c r="C69" s="150" t="s">
        <v>45</v>
      </c>
      <c r="D69" s="275" t="s">
        <v>44</v>
      </c>
      <c r="E69" s="72"/>
      <c r="F69" s="48"/>
      <c r="G69" s="240"/>
      <c r="H69" s="90"/>
      <c r="I69" s="50"/>
      <c r="J69" s="50"/>
      <c r="K69" s="183"/>
      <c r="L69" s="85"/>
      <c r="M69" s="59"/>
      <c r="N69" s="71"/>
      <c r="O69" s="145"/>
      <c r="P69" s="59"/>
      <c r="Q69" s="71"/>
      <c r="R69" s="85"/>
      <c r="S69" s="61"/>
      <c r="T69" s="62"/>
    </row>
    <row r="70" spans="1:20" ht="60">
      <c r="A70" s="140">
        <v>51</v>
      </c>
      <c r="B70" s="141" t="s">
        <v>186</v>
      </c>
      <c r="C70" s="284">
        <v>1120555090</v>
      </c>
      <c r="D70" s="262" t="s">
        <v>188</v>
      </c>
      <c r="E70" s="236">
        <f aca="true" t="shared" si="20" ref="E70:E77">SUM(I70+L70+O70+R70)</f>
        <v>97837.37669000002</v>
      </c>
      <c r="F70" s="87">
        <f aca="true" t="shared" si="21" ref="F70:F77">J70+M70+P70+S70</f>
        <v>97837.37669000002</v>
      </c>
      <c r="G70" s="237">
        <f aca="true" t="shared" si="22" ref="G70:G77">F70/E70</f>
        <v>1</v>
      </c>
      <c r="H70" s="90">
        <f>49806.33828+9546.65606+7942.00566+1035</f>
        <v>68330</v>
      </c>
      <c r="I70" s="48">
        <f>47427.34371+9546.65606+7942.00566+1035</f>
        <v>65951.00543</v>
      </c>
      <c r="J70" s="48">
        <f>47427.34371+9546.65606+7942.00566+1035</f>
        <v>65951.00543</v>
      </c>
      <c r="K70" s="212">
        <f>J70/I70</f>
        <v>1</v>
      </c>
      <c r="L70" s="89">
        <f>21307.93703+4289.07736+3568.14747+465</f>
        <v>29630.16186</v>
      </c>
      <c r="M70" s="87">
        <f>21307.93703+4289.07736+3568.14747+465</f>
        <v>29630.16186</v>
      </c>
      <c r="N70" s="212">
        <f>SUM(M70/L70)</f>
        <v>1</v>
      </c>
      <c r="O70" s="121">
        <v>2256.2094</v>
      </c>
      <c r="P70" s="120">
        <v>2256.2094</v>
      </c>
      <c r="Q70" s="335">
        <f>SUM(P70/O70)</f>
        <v>1</v>
      </c>
      <c r="R70" s="119">
        <f>SUM(V70+Y70+AB70+AE70)</f>
        <v>0</v>
      </c>
      <c r="S70" s="120">
        <f>SUM(W70+Z70+AC70+AF70)</f>
        <v>0</v>
      </c>
      <c r="T70" s="212">
        <v>0</v>
      </c>
    </row>
    <row r="71" spans="1:20" ht="75">
      <c r="A71" s="140">
        <v>52</v>
      </c>
      <c r="B71" s="141" t="s">
        <v>186</v>
      </c>
      <c r="C71" s="284">
        <v>1140354670</v>
      </c>
      <c r="D71" s="262" t="s">
        <v>189</v>
      </c>
      <c r="E71" s="72">
        <f>SUM(I71+L71+O71+R71)</f>
        <v>19912.880266666667</v>
      </c>
      <c r="F71" s="48">
        <f t="shared" si="21"/>
        <v>19912.880266666667</v>
      </c>
      <c r="G71" s="240">
        <f t="shared" si="22"/>
        <v>1</v>
      </c>
      <c r="H71" s="90">
        <v>12365.89837</v>
      </c>
      <c r="I71" s="48">
        <v>12365.89837</v>
      </c>
      <c r="J71" s="48">
        <v>12365.89837</v>
      </c>
      <c r="K71" s="183">
        <f aca="true" t="shared" si="23" ref="K71:K81">J71/I71</f>
        <v>1</v>
      </c>
      <c r="L71" s="90">
        <v>5555.69387</v>
      </c>
      <c r="M71" s="48">
        <v>5555.69387</v>
      </c>
      <c r="N71" s="211">
        <f>SUM(M71/L71)</f>
        <v>1</v>
      </c>
      <c r="O71" s="123">
        <f>17921.59224*10%/90%</f>
        <v>1991.2880266666668</v>
      </c>
      <c r="P71" s="50">
        <f>17921.59224*10%/90%</f>
        <v>1991.2880266666668</v>
      </c>
      <c r="Q71" s="334">
        <f>SUM(P71/O71)</f>
        <v>1</v>
      </c>
      <c r="R71" s="70">
        <v>0</v>
      </c>
      <c r="S71" s="59">
        <v>0</v>
      </c>
      <c r="T71" s="211">
        <v>0</v>
      </c>
    </row>
    <row r="72" spans="1:22" ht="45.75" customHeight="1">
      <c r="A72" s="140">
        <v>53</v>
      </c>
      <c r="B72" s="73" t="s">
        <v>186</v>
      </c>
      <c r="C72" s="258">
        <v>1140355170</v>
      </c>
      <c r="D72" s="259" t="s">
        <v>57</v>
      </c>
      <c r="E72" s="236">
        <f t="shared" si="20"/>
        <v>13265.697999999999</v>
      </c>
      <c r="F72" s="87">
        <f t="shared" si="21"/>
        <v>13265.697999999999</v>
      </c>
      <c r="G72" s="237">
        <f t="shared" si="22"/>
        <v>1</v>
      </c>
      <c r="H72" s="89">
        <v>9000</v>
      </c>
      <c r="I72" s="87">
        <v>9000</v>
      </c>
      <c r="J72" s="87">
        <v>9000</v>
      </c>
      <c r="K72" s="212">
        <f t="shared" si="23"/>
        <v>1</v>
      </c>
      <c r="L72" s="89">
        <v>4043.478</v>
      </c>
      <c r="M72" s="87">
        <v>4043.478</v>
      </c>
      <c r="N72" s="212">
        <f>SUM(M72/L72)</f>
        <v>1</v>
      </c>
      <c r="O72" s="121">
        <v>222.22</v>
      </c>
      <c r="P72" s="120">
        <v>222.22</v>
      </c>
      <c r="Q72" s="335">
        <f>SUM(P72/O72)</f>
        <v>1</v>
      </c>
      <c r="R72" s="119">
        <v>0</v>
      </c>
      <c r="S72" s="120">
        <v>0</v>
      </c>
      <c r="T72" s="212">
        <v>0</v>
      </c>
      <c r="V72" s="37"/>
    </row>
    <row r="73" spans="1:22" ht="45.75" customHeight="1">
      <c r="A73" s="140">
        <v>54</v>
      </c>
      <c r="B73" s="73" t="s">
        <v>186</v>
      </c>
      <c r="C73" s="258" t="s">
        <v>190</v>
      </c>
      <c r="D73" s="259" t="s">
        <v>191</v>
      </c>
      <c r="E73" s="236">
        <f t="shared" si="20"/>
        <v>1000</v>
      </c>
      <c r="F73" s="87">
        <f t="shared" si="21"/>
        <v>1000</v>
      </c>
      <c r="G73" s="237">
        <f t="shared" si="22"/>
        <v>1</v>
      </c>
      <c r="H73" s="285">
        <v>1000</v>
      </c>
      <c r="I73" s="286">
        <v>1000</v>
      </c>
      <c r="J73" s="287">
        <v>1000</v>
      </c>
      <c r="K73" s="192">
        <f t="shared" si="23"/>
        <v>1</v>
      </c>
      <c r="L73" s="153">
        <v>0</v>
      </c>
      <c r="M73" s="152">
        <v>0</v>
      </c>
      <c r="N73" s="211">
        <v>0</v>
      </c>
      <c r="O73" s="151">
        <v>0</v>
      </c>
      <c r="P73" s="152">
        <v>0</v>
      </c>
      <c r="Q73" s="334">
        <v>0</v>
      </c>
      <c r="R73" s="85">
        <v>0</v>
      </c>
      <c r="S73" s="61">
        <v>0</v>
      </c>
      <c r="T73" s="211">
        <v>0</v>
      </c>
      <c r="V73" s="37"/>
    </row>
    <row r="74" spans="1:20" ht="61.5" customHeight="1">
      <c r="A74" s="140">
        <v>55</v>
      </c>
      <c r="B74" s="73" t="s">
        <v>186</v>
      </c>
      <c r="C74" s="258">
        <v>1140355190</v>
      </c>
      <c r="D74" s="259" t="s">
        <v>187</v>
      </c>
      <c r="E74" s="236">
        <f t="shared" si="20"/>
        <v>1450</v>
      </c>
      <c r="F74" s="87">
        <f t="shared" si="21"/>
        <v>1450</v>
      </c>
      <c r="G74" s="237">
        <f t="shared" si="22"/>
        <v>1</v>
      </c>
      <c r="H74" s="156">
        <v>1450</v>
      </c>
      <c r="I74" s="155">
        <v>1450</v>
      </c>
      <c r="J74" s="155">
        <v>1450</v>
      </c>
      <c r="K74" s="212">
        <f t="shared" si="23"/>
        <v>1</v>
      </c>
      <c r="L74" s="156">
        <v>0</v>
      </c>
      <c r="M74" s="155">
        <v>0</v>
      </c>
      <c r="N74" s="212">
        <v>0</v>
      </c>
      <c r="O74" s="154">
        <v>0</v>
      </c>
      <c r="P74" s="155">
        <v>0</v>
      </c>
      <c r="Q74" s="335">
        <v>0</v>
      </c>
      <c r="R74" s="89">
        <v>0</v>
      </c>
      <c r="S74" s="87">
        <v>0</v>
      </c>
      <c r="T74" s="212">
        <v>0</v>
      </c>
    </row>
    <row r="75" spans="1:20" ht="99.75" customHeight="1">
      <c r="A75" s="140">
        <v>56</v>
      </c>
      <c r="B75" s="73" t="s">
        <v>186</v>
      </c>
      <c r="C75" s="258" t="s">
        <v>192</v>
      </c>
      <c r="D75" s="259" t="s">
        <v>193</v>
      </c>
      <c r="E75" s="236">
        <f t="shared" si="20"/>
        <v>41860.069444444445</v>
      </c>
      <c r="F75" s="87">
        <f t="shared" si="21"/>
        <v>41860.069443333334</v>
      </c>
      <c r="G75" s="237">
        <f t="shared" si="22"/>
        <v>0.9999999999734566</v>
      </c>
      <c r="H75" s="218">
        <v>36167.1</v>
      </c>
      <c r="I75" s="185">
        <v>36167.1</v>
      </c>
      <c r="J75" s="185">
        <v>36167.1</v>
      </c>
      <c r="K75" s="211">
        <f t="shared" si="23"/>
        <v>1</v>
      </c>
      <c r="L75" s="90">
        <v>1506.9625</v>
      </c>
      <c r="M75" s="48">
        <v>1506.9625</v>
      </c>
      <c r="N75" s="211">
        <f>SUM(M75/L75)</f>
        <v>1</v>
      </c>
      <c r="O75" s="121">
        <f>37674.0625*10%/90%</f>
        <v>4186.006944444444</v>
      </c>
      <c r="P75" s="120">
        <f>37674.06249*10%/90%</f>
        <v>4186.006943333333</v>
      </c>
      <c r="Q75" s="334">
        <f>SUM(P75/O75)</f>
        <v>0.9999999997345653</v>
      </c>
      <c r="R75" s="70">
        <v>0</v>
      </c>
      <c r="S75" s="59">
        <v>0</v>
      </c>
      <c r="T75" s="211">
        <v>0</v>
      </c>
    </row>
    <row r="76" spans="1:20" ht="123" customHeight="1">
      <c r="A76" s="140">
        <v>57</v>
      </c>
      <c r="B76" s="157" t="s">
        <v>186</v>
      </c>
      <c r="C76" s="288" t="s">
        <v>192</v>
      </c>
      <c r="D76" s="289" t="s">
        <v>194</v>
      </c>
      <c r="E76" s="256">
        <f t="shared" si="20"/>
        <v>62425.32417894737</v>
      </c>
      <c r="F76" s="290">
        <f t="shared" si="21"/>
        <v>62425.32413894737</v>
      </c>
      <c r="G76" s="257">
        <f t="shared" si="22"/>
        <v>0.9999999993592344</v>
      </c>
      <c r="H76" s="156">
        <v>40919.8</v>
      </c>
      <c r="I76" s="155">
        <v>40919.8</v>
      </c>
      <c r="J76" s="155">
        <v>40919.8</v>
      </c>
      <c r="K76" s="212">
        <f t="shared" si="23"/>
        <v>1</v>
      </c>
      <c r="L76" s="89">
        <v>18384.25797</v>
      </c>
      <c r="M76" s="87">
        <v>18384.25793</v>
      </c>
      <c r="N76" s="212">
        <f>SUM(M76/L76)</f>
        <v>0.9999999978242256</v>
      </c>
      <c r="O76" s="121">
        <f>59304.05797*5%/95%</f>
        <v>3121.266208947369</v>
      </c>
      <c r="P76" s="120">
        <v>3121.266208947369</v>
      </c>
      <c r="Q76" s="335">
        <f>SUM(P76/O76)</f>
        <v>1</v>
      </c>
      <c r="R76" s="119">
        <v>0</v>
      </c>
      <c r="S76" s="120">
        <v>0</v>
      </c>
      <c r="T76" s="212">
        <v>0</v>
      </c>
    </row>
    <row r="77" spans="1:20" ht="71.25" customHeight="1" thickBot="1">
      <c r="A77" s="140">
        <v>58</v>
      </c>
      <c r="B77" s="157" t="s">
        <v>186</v>
      </c>
      <c r="C77" s="288" t="s">
        <v>215</v>
      </c>
      <c r="D77" s="289" t="s">
        <v>216</v>
      </c>
      <c r="E77" s="256">
        <f t="shared" si="20"/>
        <v>15000</v>
      </c>
      <c r="F77" s="290">
        <f t="shared" si="21"/>
        <v>15000</v>
      </c>
      <c r="G77" s="257">
        <f t="shared" si="22"/>
        <v>1</v>
      </c>
      <c r="H77" s="156">
        <v>15000</v>
      </c>
      <c r="I77" s="155">
        <v>15000</v>
      </c>
      <c r="J77" s="155">
        <v>15000</v>
      </c>
      <c r="K77" s="212">
        <f t="shared" si="23"/>
        <v>1</v>
      </c>
      <c r="L77" s="85">
        <v>0</v>
      </c>
      <c r="M77" s="61">
        <v>0</v>
      </c>
      <c r="N77" s="211">
        <v>0</v>
      </c>
      <c r="O77" s="145">
        <v>0</v>
      </c>
      <c r="P77" s="59">
        <v>0</v>
      </c>
      <c r="Q77" s="334">
        <v>0</v>
      </c>
      <c r="R77" s="70">
        <v>0</v>
      </c>
      <c r="S77" s="59">
        <v>0</v>
      </c>
      <c r="T77" s="211">
        <v>0</v>
      </c>
    </row>
    <row r="78" spans="1:20" ht="64.5" customHeight="1">
      <c r="A78" s="158"/>
      <c r="B78" s="159"/>
      <c r="C78" s="147" t="s">
        <v>203</v>
      </c>
      <c r="D78" s="264" t="s">
        <v>185</v>
      </c>
      <c r="E78" s="265"/>
      <c r="F78" s="101"/>
      <c r="G78" s="267"/>
      <c r="H78" s="163"/>
      <c r="I78" s="161"/>
      <c r="J78" s="161"/>
      <c r="K78" s="162"/>
      <c r="L78" s="163"/>
      <c r="M78" s="161"/>
      <c r="N78" s="162"/>
      <c r="O78" s="160"/>
      <c r="P78" s="161"/>
      <c r="Q78" s="162"/>
      <c r="R78" s="104"/>
      <c r="S78" s="101"/>
      <c r="T78" s="103"/>
    </row>
    <row r="79" spans="1:20" ht="30.75" customHeight="1" thickBot="1">
      <c r="A79" s="164">
        <v>59</v>
      </c>
      <c r="B79" s="165" t="s">
        <v>183</v>
      </c>
      <c r="C79" s="291">
        <v>3180052990</v>
      </c>
      <c r="D79" s="282" t="s">
        <v>184</v>
      </c>
      <c r="E79" s="246">
        <f>SUM(I79+L79+O79+R79)</f>
        <v>41620.578575555555</v>
      </c>
      <c r="F79" s="95">
        <f>J79+M79+P79+S79</f>
        <v>40345.3033</v>
      </c>
      <c r="G79" s="263">
        <f>F79/E79</f>
        <v>0.9693595014965855</v>
      </c>
      <c r="H79" s="219">
        <v>27144</v>
      </c>
      <c r="I79" s="187">
        <v>25054.43302</v>
      </c>
      <c r="J79" s="187">
        <v>25054.43302</v>
      </c>
      <c r="K79" s="213">
        <f t="shared" si="23"/>
        <v>1</v>
      </c>
      <c r="L79" s="97">
        <v>12195.131</v>
      </c>
      <c r="M79" s="95">
        <v>11256.33995</v>
      </c>
      <c r="N79" s="213">
        <f>SUM(M79/L79)</f>
        <v>0.9230191910197603</v>
      </c>
      <c r="O79" s="135">
        <f>39339.131*10%/90%</f>
        <v>4371.0145555555555</v>
      </c>
      <c r="P79" s="136">
        <f>(J79+M79)*10%/90%</f>
        <v>4034.5303299999996</v>
      </c>
      <c r="Q79" s="337">
        <f>SUM(P79/O79)</f>
        <v>0.9230191935353121</v>
      </c>
      <c r="R79" s="217">
        <v>0</v>
      </c>
      <c r="S79" s="146">
        <v>0</v>
      </c>
      <c r="T79" s="213">
        <v>0</v>
      </c>
    </row>
    <row r="80" spans="1:20" ht="44.25" customHeight="1">
      <c r="A80" s="166"/>
      <c r="B80" s="66"/>
      <c r="C80" s="150">
        <v>13</v>
      </c>
      <c r="D80" s="292" t="s">
        <v>30</v>
      </c>
      <c r="E80" s="72"/>
      <c r="F80" s="167"/>
      <c r="G80" s="240"/>
      <c r="H80" s="169"/>
      <c r="I80" s="167"/>
      <c r="J80" s="167"/>
      <c r="K80" s="183"/>
      <c r="L80" s="169"/>
      <c r="M80" s="167"/>
      <c r="N80" s="168"/>
      <c r="O80" s="72"/>
      <c r="P80" s="167"/>
      <c r="Q80" s="168"/>
      <c r="R80" s="169"/>
      <c r="S80" s="167"/>
      <c r="T80" s="168"/>
    </row>
    <row r="81" spans="1:20" ht="44.25" customHeight="1">
      <c r="A81" s="82">
        <v>60</v>
      </c>
      <c r="B81" s="66" t="s">
        <v>24</v>
      </c>
      <c r="C81" s="67" t="s">
        <v>257</v>
      </c>
      <c r="D81" s="293" t="s">
        <v>179</v>
      </c>
      <c r="E81" s="72">
        <f>SUM(I81+L81+O81+R81)</f>
        <v>13712.28178</v>
      </c>
      <c r="F81" s="87">
        <f>J81+M81+P81+S81</f>
        <v>13712.28178</v>
      </c>
      <c r="G81" s="237">
        <f>F81/E81</f>
        <v>1</v>
      </c>
      <c r="H81" s="89">
        <v>9208.89471</v>
      </c>
      <c r="I81" s="87">
        <v>9208.89471</v>
      </c>
      <c r="J81" s="87">
        <v>9208.89471</v>
      </c>
      <c r="K81" s="212">
        <f t="shared" si="23"/>
        <v>1</v>
      </c>
      <c r="L81" s="89">
        <v>4137.32969</v>
      </c>
      <c r="M81" s="87">
        <v>4137.32969</v>
      </c>
      <c r="N81" s="212">
        <f>SUM(M81/L81)</f>
        <v>1</v>
      </c>
      <c r="O81" s="121">
        <v>366.05738</v>
      </c>
      <c r="P81" s="120">
        <f>166.73778+142.1071+57.2125</f>
        <v>366.05737999999997</v>
      </c>
      <c r="Q81" s="335">
        <f>SUM(P81/O81)</f>
        <v>0.9999999999999999</v>
      </c>
      <c r="R81" s="119">
        <v>0</v>
      </c>
      <c r="S81" s="120">
        <v>0</v>
      </c>
      <c r="T81" s="212">
        <v>0</v>
      </c>
    </row>
    <row r="82" spans="1:20" s="38" customFormat="1" ht="60.75" customHeight="1">
      <c r="A82" s="82">
        <v>61</v>
      </c>
      <c r="B82" s="66" t="s">
        <v>180</v>
      </c>
      <c r="C82" s="67" t="s">
        <v>222</v>
      </c>
      <c r="D82" s="293" t="s">
        <v>181</v>
      </c>
      <c r="E82" s="236">
        <f>SUM(I82+L82+O82+R82)</f>
        <v>13091.07533</v>
      </c>
      <c r="F82" s="87">
        <f>J82+M82+P82+S82</f>
        <v>13091.07533</v>
      </c>
      <c r="G82" s="237">
        <f>F82/E82</f>
        <v>1</v>
      </c>
      <c r="H82" s="89">
        <f>2003.2553+6166.5</f>
        <v>8169.7553</v>
      </c>
      <c r="I82" s="87">
        <v>8169.7553</v>
      </c>
      <c r="J82" s="87">
        <v>8169.7553</v>
      </c>
      <c r="K82" s="212">
        <f>J82/I82</f>
        <v>1</v>
      </c>
      <c r="L82" s="89">
        <v>3670.4707</v>
      </c>
      <c r="M82" s="87">
        <v>3670.4707</v>
      </c>
      <c r="N82" s="212">
        <f>SUM(M82/L82)</f>
        <v>1</v>
      </c>
      <c r="O82" s="121">
        <f>64.73111+193.12322+992.995</f>
        <v>1250.84933</v>
      </c>
      <c r="P82" s="120">
        <f>64.73111+193.12322+992.995</f>
        <v>1250.84933</v>
      </c>
      <c r="Q82" s="335">
        <f>SUM(P82/O82)</f>
        <v>1</v>
      </c>
      <c r="R82" s="119">
        <v>0</v>
      </c>
      <c r="S82" s="120">
        <v>0</v>
      </c>
      <c r="T82" s="212">
        <v>0</v>
      </c>
    </row>
    <row r="83" spans="1:20" s="38" customFormat="1" ht="65.25" customHeight="1">
      <c r="A83" s="82">
        <v>62</v>
      </c>
      <c r="B83" s="83" t="s">
        <v>79</v>
      </c>
      <c r="C83" s="232" t="s">
        <v>223</v>
      </c>
      <c r="D83" s="294" t="s">
        <v>208</v>
      </c>
      <c r="E83" s="256">
        <f>SUM(I83+L83+O83+R83)</f>
        <v>11522.19339</v>
      </c>
      <c r="F83" s="61">
        <f>J83+M83+P83+S83</f>
        <v>10791.93203</v>
      </c>
      <c r="G83" s="234">
        <f>F83/E83</f>
        <v>0.936621324145298</v>
      </c>
      <c r="H83" s="89">
        <v>27886.52374</v>
      </c>
      <c r="I83" s="87">
        <v>10360.25467</v>
      </c>
      <c r="J83" s="87">
        <v>10360.25467</v>
      </c>
      <c r="K83" s="212">
        <f>J83/I83</f>
        <v>1</v>
      </c>
      <c r="L83" s="89">
        <v>1161.93872</v>
      </c>
      <c r="M83" s="87">
        <v>431.67736</v>
      </c>
      <c r="N83" s="211">
        <f>SUM(M83/L83)</f>
        <v>0.3715147387462912</v>
      </c>
      <c r="O83" s="151">
        <v>0</v>
      </c>
      <c r="P83" s="152">
        <v>0</v>
      </c>
      <c r="Q83" s="334">
        <v>0</v>
      </c>
      <c r="R83" s="85">
        <v>0</v>
      </c>
      <c r="S83" s="61">
        <v>0</v>
      </c>
      <c r="T83" s="211">
        <v>0</v>
      </c>
    </row>
    <row r="84" spans="1:20" s="38" customFormat="1" ht="69.75" customHeight="1">
      <c r="A84" s="82">
        <v>63</v>
      </c>
      <c r="B84" s="65" t="s">
        <v>24</v>
      </c>
      <c r="C84" s="295" t="s">
        <v>258</v>
      </c>
      <c r="D84" s="296" t="s">
        <v>182</v>
      </c>
      <c r="E84" s="256">
        <f>SUM(I84+L84+O84+R84)</f>
        <v>23672.12038</v>
      </c>
      <c r="F84" s="290">
        <f>J84+M84+P84+S84</f>
        <v>23672.12038</v>
      </c>
      <c r="G84" s="257">
        <f>F84/E84</f>
        <v>1</v>
      </c>
      <c r="H84" s="89">
        <v>22725.23527</v>
      </c>
      <c r="I84" s="87">
        <v>22725.23527</v>
      </c>
      <c r="J84" s="87">
        <v>22725.23527</v>
      </c>
      <c r="K84" s="192">
        <f>J84/I84</f>
        <v>1</v>
      </c>
      <c r="L84" s="89">
        <v>946.88511</v>
      </c>
      <c r="M84" s="87">
        <v>946.88511</v>
      </c>
      <c r="N84" s="192">
        <f>M84/L84</f>
        <v>1</v>
      </c>
      <c r="O84" s="172">
        <v>0</v>
      </c>
      <c r="P84" s="171">
        <v>0</v>
      </c>
      <c r="Q84" s="359">
        <v>0</v>
      </c>
      <c r="R84" s="170">
        <v>0</v>
      </c>
      <c r="S84" s="171">
        <v>0</v>
      </c>
      <c r="T84" s="192">
        <v>0</v>
      </c>
    </row>
    <row r="85" spans="1:20" s="38" customFormat="1" ht="101.25" customHeight="1" thickBot="1">
      <c r="A85" s="124">
        <v>64</v>
      </c>
      <c r="B85" s="190" t="s">
        <v>79</v>
      </c>
      <c r="C85" s="295" t="s">
        <v>209</v>
      </c>
      <c r="D85" s="297" t="s">
        <v>210</v>
      </c>
      <c r="E85" s="256">
        <f>SUM(I85+L85+O85+R85)</f>
        <v>2441969.00272</v>
      </c>
      <c r="F85" s="290">
        <f>J85+M85+P85+S85</f>
        <v>2386381.16787</v>
      </c>
      <c r="G85" s="257">
        <f>F85/E85</f>
        <v>0.9772364699191172</v>
      </c>
      <c r="H85" s="89">
        <v>1895614.7</v>
      </c>
      <c r="I85" s="87">
        <v>1762763.92332</v>
      </c>
      <c r="J85" s="87">
        <v>1762763.92332</v>
      </c>
      <c r="K85" s="192">
        <f>J85/I85</f>
        <v>1</v>
      </c>
      <c r="L85" s="89">
        <v>679205.0794</v>
      </c>
      <c r="M85" s="87">
        <v>623617.24455</v>
      </c>
      <c r="N85" s="192">
        <f>M85/L85</f>
        <v>0.9181575101012118</v>
      </c>
      <c r="O85" s="172">
        <v>0</v>
      </c>
      <c r="P85" s="171">
        <v>0</v>
      </c>
      <c r="Q85" s="359">
        <v>0</v>
      </c>
      <c r="R85" s="170">
        <v>0</v>
      </c>
      <c r="S85" s="171">
        <v>0</v>
      </c>
      <c r="T85" s="192">
        <v>0</v>
      </c>
    </row>
    <row r="86" spans="1:20" ht="59.25" customHeight="1">
      <c r="A86" s="298"/>
      <c r="B86" s="159"/>
      <c r="C86" s="189">
        <v>15</v>
      </c>
      <c r="D86" s="264" t="s">
        <v>31</v>
      </c>
      <c r="E86" s="299"/>
      <c r="F86" s="300"/>
      <c r="G86" s="301"/>
      <c r="H86" s="302"/>
      <c r="I86" s="300"/>
      <c r="J86" s="300"/>
      <c r="K86" s="303"/>
      <c r="L86" s="302"/>
      <c r="M86" s="300"/>
      <c r="N86" s="304"/>
      <c r="O86" s="299"/>
      <c r="P86" s="300"/>
      <c r="Q86" s="304"/>
      <c r="R86" s="305"/>
      <c r="S86" s="306"/>
      <c r="T86" s="307"/>
    </row>
    <row r="87" spans="1:20" ht="75">
      <c r="A87" s="118">
        <v>65</v>
      </c>
      <c r="B87" s="65" t="s">
        <v>25</v>
      </c>
      <c r="C87" s="68" t="s">
        <v>64</v>
      </c>
      <c r="D87" s="308" t="s">
        <v>197</v>
      </c>
      <c r="E87" s="236">
        <f>SUM(I87+L87+O87+R87)</f>
        <v>9724.063</v>
      </c>
      <c r="F87" s="87">
        <f>J87+M87+P87+S87</f>
        <v>9724.063</v>
      </c>
      <c r="G87" s="237">
        <f>F87/E87</f>
        <v>1</v>
      </c>
      <c r="H87" s="179">
        <v>9335.1</v>
      </c>
      <c r="I87" s="178">
        <v>9335.1</v>
      </c>
      <c r="J87" s="178">
        <v>9335.1</v>
      </c>
      <c r="K87" s="214">
        <f aca="true" t="shared" si="24" ref="K87:K92">J87/I87</f>
        <v>1</v>
      </c>
      <c r="L87" s="179">
        <v>388.963</v>
      </c>
      <c r="M87" s="178">
        <v>388.963</v>
      </c>
      <c r="N87" s="212">
        <f>SUM(M87/L87)</f>
        <v>1</v>
      </c>
      <c r="O87" s="177">
        <v>0</v>
      </c>
      <c r="P87" s="178">
        <v>0</v>
      </c>
      <c r="Q87" s="335">
        <v>0</v>
      </c>
      <c r="R87" s="179">
        <v>0</v>
      </c>
      <c r="S87" s="178">
        <v>0</v>
      </c>
      <c r="T87" s="212">
        <v>0</v>
      </c>
    </row>
    <row r="88" spans="1:20" ht="60">
      <c r="A88" s="118">
        <v>66</v>
      </c>
      <c r="B88" s="73" t="s">
        <v>25</v>
      </c>
      <c r="C88" s="258" t="s">
        <v>65</v>
      </c>
      <c r="D88" s="309" t="s">
        <v>198</v>
      </c>
      <c r="E88" s="236">
        <f>SUM(I88+L88+O88+R88)</f>
        <v>129105.62700000001</v>
      </c>
      <c r="F88" s="87">
        <f>J88+M88+P88+S88</f>
        <v>129105.62700000001</v>
      </c>
      <c r="G88" s="237">
        <f>F88/E88</f>
        <v>1</v>
      </c>
      <c r="H88" s="179">
        <v>123999</v>
      </c>
      <c r="I88" s="178">
        <v>123999</v>
      </c>
      <c r="J88" s="178">
        <v>123999</v>
      </c>
      <c r="K88" s="214">
        <f t="shared" si="24"/>
        <v>1</v>
      </c>
      <c r="L88" s="179">
        <v>5106.627</v>
      </c>
      <c r="M88" s="178">
        <v>5106.627</v>
      </c>
      <c r="N88" s="212">
        <f>SUM(M88/L88)</f>
        <v>1</v>
      </c>
      <c r="O88" s="177">
        <v>0</v>
      </c>
      <c r="P88" s="178">
        <v>0</v>
      </c>
      <c r="Q88" s="335">
        <v>0</v>
      </c>
      <c r="R88" s="179">
        <v>0</v>
      </c>
      <c r="S88" s="178">
        <v>0</v>
      </c>
      <c r="T88" s="212">
        <v>0</v>
      </c>
    </row>
    <row r="89" spans="1:20" ht="60">
      <c r="A89" s="118">
        <v>67</v>
      </c>
      <c r="B89" s="157" t="s">
        <v>25</v>
      </c>
      <c r="C89" s="288" t="s">
        <v>201</v>
      </c>
      <c r="D89" s="310" t="s">
        <v>202</v>
      </c>
      <c r="E89" s="236">
        <f aca="true" t="shared" si="25" ref="E89:E119">SUM(I89+L89+O89+R89)</f>
        <v>206092.085</v>
      </c>
      <c r="F89" s="87">
        <v>206092.088</v>
      </c>
      <c r="G89" s="237">
        <f>F89/E89</f>
        <v>1.0000000145565997</v>
      </c>
      <c r="H89" s="89">
        <v>197848.4</v>
      </c>
      <c r="I89" s="87">
        <v>197848.4</v>
      </c>
      <c r="J89" s="87">
        <v>197848.4</v>
      </c>
      <c r="K89" s="214">
        <f t="shared" si="24"/>
        <v>1</v>
      </c>
      <c r="L89" s="89">
        <v>8243.685000000001</v>
      </c>
      <c r="M89" s="87">
        <v>8243.688</v>
      </c>
      <c r="N89" s="212">
        <f aca="true" t="shared" si="26" ref="N89:N120">SUM(M89/L89)</f>
        <v>1.0000003639149238</v>
      </c>
      <c r="O89" s="88">
        <v>0</v>
      </c>
      <c r="P89" s="87">
        <v>0</v>
      </c>
      <c r="Q89" s="335">
        <v>0</v>
      </c>
      <c r="R89" s="89">
        <v>0</v>
      </c>
      <c r="S89" s="87">
        <v>0</v>
      </c>
      <c r="T89" s="212">
        <v>0</v>
      </c>
    </row>
    <row r="90" spans="1:20" ht="75">
      <c r="A90" s="118">
        <v>68</v>
      </c>
      <c r="B90" s="65" t="s">
        <v>196</v>
      </c>
      <c r="C90" s="68" t="s">
        <v>199</v>
      </c>
      <c r="D90" s="311" t="s">
        <v>200</v>
      </c>
      <c r="E90" s="236">
        <f t="shared" si="25"/>
        <v>29680.4</v>
      </c>
      <c r="F90" s="87">
        <f>J90+M90+P90+S90</f>
        <v>29680.4</v>
      </c>
      <c r="G90" s="237">
        <f aca="true" t="shared" si="27" ref="G90:G124">F90/E90</f>
        <v>1</v>
      </c>
      <c r="H90" s="89">
        <v>29680.4</v>
      </c>
      <c r="I90" s="87">
        <v>29680.4</v>
      </c>
      <c r="J90" s="87">
        <v>29680.4</v>
      </c>
      <c r="K90" s="214">
        <f t="shared" si="24"/>
        <v>1</v>
      </c>
      <c r="L90" s="89">
        <v>0</v>
      </c>
      <c r="M90" s="87">
        <v>0</v>
      </c>
      <c r="N90" s="212">
        <v>0</v>
      </c>
      <c r="O90" s="177">
        <v>0</v>
      </c>
      <c r="P90" s="178">
        <v>0</v>
      </c>
      <c r="Q90" s="335">
        <v>0</v>
      </c>
      <c r="R90" s="89">
        <v>0</v>
      </c>
      <c r="S90" s="87">
        <v>0</v>
      </c>
      <c r="T90" s="212">
        <v>0</v>
      </c>
    </row>
    <row r="91" spans="1:20" ht="30">
      <c r="A91" s="118">
        <v>69</v>
      </c>
      <c r="B91" s="312" t="s">
        <v>25</v>
      </c>
      <c r="C91" s="313" t="s">
        <v>66</v>
      </c>
      <c r="D91" s="314" t="s">
        <v>67</v>
      </c>
      <c r="E91" s="236">
        <f t="shared" si="25"/>
        <v>10536.071</v>
      </c>
      <c r="F91" s="120">
        <f>J91+M91+P91+S91</f>
        <v>10536.071</v>
      </c>
      <c r="G91" s="237">
        <f t="shared" si="27"/>
        <v>1</v>
      </c>
      <c r="H91" s="89">
        <v>6542.9</v>
      </c>
      <c r="I91" s="87">
        <v>6542.9</v>
      </c>
      <c r="J91" s="87">
        <v>6542.9</v>
      </c>
      <c r="K91" s="214">
        <f t="shared" si="24"/>
        <v>1</v>
      </c>
      <c r="L91" s="89">
        <v>2939.564</v>
      </c>
      <c r="M91" s="87">
        <v>2939.564</v>
      </c>
      <c r="N91" s="212">
        <f>SUM(M91/L91)</f>
        <v>1</v>
      </c>
      <c r="O91" s="88">
        <v>1053.607</v>
      </c>
      <c r="P91" s="87">
        <v>1053.607</v>
      </c>
      <c r="Q91" s="212">
        <f>SUM(P91/O91)</f>
        <v>1</v>
      </c>
      <c r="R91" s="89">
        <v>0</v>
      </c>
      <c r="S91" s="87">
        <v>0</v>
      </c>
      <c r="T91" s="212">
        <v>0</v>
      </c>
    </row>
    <row r="92" spans="1:20" ht="289.5" customHeight="1" thickBot="1">
      <c r="A92" s="184">
        <v>70</v>
      </c>
      <c r="B92" s="51" t="s">
        <v>196</v>
      </c>
      <c r="C92" s="69" t="s">
        <v>213</v>
      </c>
      <c r="D92" s="315" t="s">
        <v>214</v>
      </c>
      <c r="E92" s="246">
        <f t="shared" si="25"/>
        <v>20273.769</v>
      </c>
      <c r="F92" s="136">
        <f>J92+M92+P92+S92</f>
        <v>20273.769</v>
      </c>
      <c r="G92" s="247">
        <f t="shared" si="27"/>
        <v>1</v>
      </c>
      <c r="H92" s="173">
        <v>13988.9</v>
      </c>
      <c r="I92" s="180">
        <v>13988.9</v>
      </c>
      <c r="J92" s="180">
        <v>13988.9</v>
      </c>
      <c r="K92" s="191">
        <f t="shared" si="24"/>
        <v>1</v>
      </c>
      <c r="L92" s="206">
        <v>6284.869</v>
      </c>
      <c r="M92" s="180">
        <v>6284.869</v>
      </c>
      <c r="N92" s="191">
        <f t="shared" si="26"/>
        <v>1</v>
      </c>
      <c r="O92" s="96">
        <v>0</v>
      </c>
      <c r="P92" s="95">
        <v>0</v>
      </c>
      <c r="Q92" s="345">
        <v>0</v>
      </c>
      <c r="R92" s="97">
        <v>0</v>
      </c>
      <c r="S92" s="95">
        <v>0</v>
      </c>
      <c r="T92" s="191">
        <v>0</v>
      </c>
    </row>
    <row r="93" spans="1:20" ht="42.75">
      <c r="A93" s="140"/>
      <c r="B93" s="181"/>
      <c r="C93" s="150" t="s">
        <v>76</v>
      </c>
      <c r="D93" s="292" t="s">
        <v>78</v>
      </c>
      <c r="E93" s="72"/>
      <c r="F93" s="50"/>
      <c r="G93" s="240"/>
      <c r="H93" s="207"/>
      <c r="I93" s="182"/>
      <c r="J93" s="182"/>
      <c r="K93" s="183"/>
      <c r="L93" s="207"/>
      <c r="M93" s="182"/>
      <c r="N93" s="183"/>
      <c r="O93" s="49"/>
      <c r="P93" s="48"/>
      <c r="Q93" s="183"/>
      <c r="R93" s="90"/>
      <c r="S93" s="48"/>
      <c r="T93" s="183"/>
    </row>
    <row r="94" spans="1:20" ht="153.75" thickBot="1">
      <c r="A94" s="184">
        <v>71</v>
      </c>
      <c r="B94" s="316" t="s">
        <v>74</v>
      </c>
      <c r="C94" s="317" t="s">
        <v>77</v>
      </c>
      <c r="D94" s="318" t="s">
        <v>164</v>
      </c>
      <c r="E94" s="246">
        <f>SUM(I94+L94+O94+R94)</f>
        <v>4825433.43581</v>
      </c>
      <c r="F94" s="95">
        <f>J94+M94+P94+S94</f>
        <v>4807482.75713</v>
      </c>
      <c r="G94" s="247">
        <f>F94/E94</f>
        <v>0.996279986260553</v>
      </c>
      <c r="H94" s="97">
        <f>552000+490000+449.5699+2800000+552000</f>
        <v>4394449.5699000005</v>
      </c>
      <c r="I94" s="95">
        <f>J94</f>
        <v>4394449.5699000005</v>
      </c>
      <c r="J94" s="95">
        <f>552000+490000+449.5699+2800000+552000</f>
        <v>4394449.5699000005</v>
      </c>
      <c r="K94" s="191">
        <f>J94/I94</f>
        <v>1</v>
      </c>
      <c r="L94" s="97">
        <v>392671.11351</v>
      </c>
      <c r="M94" s="95">
        <f>L94-17168.49724-782.18144</f>
        <v>374720.43483</v>
      </c>
      <c r="N94" s="191">
        <f>SUM(M94/L94)</f>
        <v>0.9542857163096544</v>
      </c>
      <c r="O94" s="96">
        <v>38312.7524</v>
      </c>
      <c r="P94" s="95">
        <v>38312.7524</v>
      </c>
      <c r="Q94" s="345">
        <f>SUM(P94/O94)</f>
        <v>1</v>
      </c>
      <c r="R94" s="173">
        <v>0</v>
      </c>
      <c r="S94" s="136">
        <v>0</v>
      </c>
      <c r="T94" s="191">
        <v>0</v>
      </c>
    </row>
    <row r="95" spans="1:20" ht="71.25">
      <c r="A95" s="166"/>
      <c r="B95" s="66"/>
      <c r="C95" s="150">
        <v>25</v>
      </c>
      <c r="D95" s="319" t="s">
        <v>75</v>
      </c>
      <c r="E95" s="84"/>
      <c r="F95" s="174"/>
      <c r="G95" s="234"/>
      <c r="H95" s="176"/>
      <c r="I95" s="174"/>
      <c r="J95" s="174"/>
      <c r="K95" s="211"/>
      <c r="L95" s="176"/>
      <c r="M95" s="174"/>
      <c r="N95" s="175"/>
      <c r="O95" s="84"/>
      <c r="P95" s="174"/>
      <c r="Q95" s="175"/>
      <c r="R95" s="176"/>
      <c r="S95" s="174"/>
      <c r="T95" s="175"/>
    </row>
    <row r="96" spans="1:20" ht="30">
      <c r="A96" s="86">
        <v>72</v>
      </c>
      <c r="B96" s="65" t="s">
        <v>26</v>
      </c>
      <c r="C96" s="320" t="s">
        <v>146</v>
      </c>
      <c r="D96" s="259" t="s">
        <v>47</v>
      </c>
      <c r="E96" s="236">
        <f>SUM(I96+L96+O96+R96)</f>
        <v>7770.700000000001</v>
      </c>
      <c r="F96" s="87">
        <f aca="true" t="shared" si="28" ref="F96:F103">J96+M96+P96+S96</f>
        <v>7770.700000000001</v>
      </c>
      <c r="G96" s="237">
        <f t="shared" si="27"/>
        <v>1</v>
      </c>
      <c r="H96" s="89">
        <v>5361.8</v>
      </c>
      <c r="I96" s="87">
        <v>5361.8</v>
      </c>
      <c r="J96" s="87">
        <v>5361.8</v>
      </c>
      <c r="K96" s="212">
        <f>J96/I96</f>
        <v>1</v>
      </c>
      <c r="L96" s="89">
        <v>2408.9</v>
      </c>
      <c r="M96" s="87">
        <v>2408.9</v>
      </c>
      <c r="N96" s="212">
        <f t="shared" si="26"/>
        <v>1</v>
      </c>
      <c r="O96" s="88">
        <v>0</v>
      </c>
      <c r="P96" s="155">
        <v>0</v>
      </c>
      <c r="Q96" s="335">
        <v>0</v>
      </c>
      <c r="R96" s="156">
        <v>0</v>
      </c>
      <c r="S96" s="155">
        <v>0</v>
      </c>
      <c r="T96" s="212">
        <v>0</v>
      </c>
    </row>
    <row r="97" spans="1:20" ht="30">
      <c r="A97" s="86">
        <v>73</v>
      </c>
      <c r="B97" s="65" t="s">
        <v>26</v>
      </c>
      <c r="C97" s="320" t="s">
        <v>146</v>
      </c>
      <c r="D97" s="259" t="s">
        <v>228</v>
      </c>
      <c r="E97" s="236">
        <f>SUM(I97+L97+O97+R97)</f>
        <v>145521</v>
      </c>
      <c r="F97" s="87">
        <f>J97+M97+P97+S97</f>
        <v>145521</v>
      </c>
      <c r="G97" s="237">
        <f t="shared" si="27"/>
        <v>1</v>
      </c>
      <c r="H97" s="89">
        <v>100409.5</v>
      </c>
      <c r="I97" s="87">
        <v>100409.5</v>
      </c>
      <c r="J97" s="87">
        <v>100409.5</v>
      </c>
      <c r="K97" s="212">
        <f>J97/I97</f>
        <v>1</v>
      </c>
      <c r="L97" s="89">
        <v>45111.5</v>
      </c>
      <c r="M97" s="87">
        <v>45111.5</v>
      </c>
      <c r="N97" s="212">
        <f t="shared" si="26"/>
        <v>1</v>
      </c>
      <c r="O97" s="88">
        <v>0</v>
      </c>
      <c r="P97" s="155">
        <v>0</v>
      </c>
      <c r="Q97" s="335">
        <v>0</v>
      </c>
      <c r="R97" s="156">
        <v>0</v>
      </c>
      <c r="S97" s="155">
        <v>0</v>
      </c>
      <c r="T97" s="212">
        <v>0</v>
      </c>
    </row>
    <row r="98" spans="1:20" ht="90">
      <c r="A98" s="86">
        <v>74</v>
      </c>
      <c r="B98" s="66" t="s">
        <v>26</v>
      </c>
      <c r="C98" s="320" t="s">
        <v>146</v>
      </c>
      <c r="D98" s="259" t="s">
        <v>229</v>
      </c>
      <c r="E98" s="236">
        <f>SUM(I98+L98+O98+R98)</f>
        <v>34124.1</v>
      </c>
      <c r="F98" s="87">
        <f>J98+M98+P98+S98</f>
        <v>34124.1</v>
      </c>
      <c r="G98" s="237">
        <f t="shared" si="27"/>
        <v>1</v>
      </c>
      <c r="H98" s="89">
        <v>23545.6</v>
      </c>
      <c r="I98" s="87">
        <v>23545.6</v>
      </c>
      <c r="J98" s="87">
        <v>23545.6</v>
      </c>
      <c r="K98" s="212">
        <f>J98/I98</f>
        <v>1</v>
      </c>
      <c r="L98" s="89">
        <v>10578.5</v>
      </c>
      <c r="M98" s="87">
        <v>10578.5</v>
      </c>
      <c r="N98" s="212">
        <f t="shared" si="26"/>
        <v>1</v>
      </c>
      <c r="O98" s="49">
        <v>0</v>
      </c>
      <c r="P98" s="185">
        <v>0</v>
      </c>
      <c r="Q98" s="336">
        <v>0</v>
      </c>
      <c r="R98" s="218">
        <v>0</v>
      </c>
      <c r="S98" s="185">
        <v>0</v>
      </c>
      <c r="T98" s="183">
        <v>0</v>
      </c>
    </row>
    <row r="99" spans="1:20" ht="105">
      <c r="A99" s="86">
        <v>75</v>
      </c>
      <c r="B99" s="65" t="s">
        <v>26</v>
      </c>
      <c r="C99" s="321" t="s">
        <v>146</v>
      </c>
      <c r="D99" s="322" t="s">
        <v>49</v>
      </c>
      <c r="E99" s="236">
        <f t="shared" si="25"/>
        <v>8988</v>
      </c>
      <c r="F99" s="87">
        <f t="shared" si="28"/>
        <v>8988</v>
      </c>
      <c r="G99" s="237">
        <f t="shared" si="27"/>
        <v>1</v>
      </c>
      <c r="H99" s="89">
        <v>6201.7</v>
      </c>
      <c r="I99" s="87">
        <v>6201.7</v>
      </c>
      <c r="J99" s="87">
        <v>6201.7</v>
      </c>
      <c r="K99" s="212">
        <f aca="true" t="shared" si="29" ref="K99:K105">J99/I99</f>
        <v>1</v>
      </c>
      <c r="L99" s="89">
        <v>2786.3</v>
      </c>
      <c r="M99" s="87">
        <v>2786.3</v>
      </c>
      <c r="N99" s="212">
        <f t="shared" si="26"/>
        <v>1</v>
      </c>
      <c r="O99" s="88">
        <v>0</v>
      </c>
      <c r="P99" s="155">
        <v>0</v>
      </c>
      <c r="Q99" s="335">
        <v>0</v>
      </c>
      <c r="R99" s="156">
        <v>0</v>
      </c>
      <c r="S99" s="155">
        <v>0</v>
      </c>
      <c r="T99" s="212">
        <v>0</v>
      </c>
    </row>
    <row r="100" spans="1:20" ht="45">
      <c r="A100" s="86">
        <v>76</v>
      </c>
      <c r="B100" s="65" t="s">
        <v>26</v>
      </c>
      <c r="C100" s="320" t="s">
        <v>146</v>
      </c>
      <c r="D100" s="323" t="s">
        <v>147</v>
      </c>
      <c r="E100" s="236">
        <f t="shared" si="25"/>
        <v>1295</v>
      </c>
      <c r="F100" s="87">
        <f t="shared" si="28"/>
        <v>1295</v>
      </c>
      <c r="G100" s="237">
        <f t="shared" si="27"/>
        <v>1</v>
      </c>
      <c r="H100" s="89">
        <v>893.6</v>
      </c>
      <c r="I100" s="87">
        <v>893.6</v>
      </c>
      <c r="J100" s="87">
        <v>893.6</v>
      </c>
      <c r="K100" s="212">
        <f t="shared" si="29"/>
        <v>1</v>
      </c>
      <c r="L100" s="89">
        <v>401.4</v>
      </c>
      <c r="M100" s="87">
        <v>401.4</v>
      </c>
      <c r="N100" s="212">
        <f t="shared" si="26"/>
        <v>1</v>
      </c>
      <c r="O100" s="88">
        <v>0</v>
      </c>
      <c r="P100" s="155">
        <v>0</v>
      </c>
      <c r="Q100" s="335">
        <v>0</v>
      </c>
      <c r="R100" s="156">
        <v>0</v>
      </c>
      <c r="S100" s="155">
        <v>0</v>
      </c>
      <c r="T100" s="212">
        <v>0</v>
      </c>
    </row>
    <row r="101" spans="1:20" ht="47.25" customHeight="1">
      <c r="A101" s="86">
        <v>77</v>
      </c>
      <c r="B101" s="65" t="s">
        <v>26</v>
      </c>
      <c r="C101" s="320" t="s">
        <v>146</v>
      </c>
      <c r="D101" s="323" t="s">
        <v>50</v>
      </c>
      <c r="E101" s="236">
        <f t="shared" si="25"/>
        <v>75450.29999999999</v>
      </c>
      <c r="F101" s="87">
        <f t="shared" si="28"/>
        <v>75450.29999999999</v>
      </c>
      <c r="G101" s="237">
        <f t="shared" si="27"/>
        <v>1</v>
      </c>
      <c r="H101" s="89">
        <v>52060.7</v>
      </c>
      <c r="I101" s="87">
        <v>52060.7</v>
      </c>
      <c r="J101" s="87">
        <v>52060.7</v>
      </c>
      <c r="K101" s="212">
        <f t="shared" si="29"/>
        <v>1</v>
      </c>
      <c r="L101" s="89">
        <v>23389.6</v>
      </c>
      <c r="M101" s="87">
        <v>23389.6</v>
      </c>
      <c r="N101" s="212">
        <f t="shared" si="26"/>
        <v>1</v>
      </c>
      <c r="O101" s="88">
        <v>0</v>
      </c>
      <c r="P101" s="155">
        <v>0</v>
      </c>
      <c r="Q101" s="335">
        <v>0</v>
      </c>
      <c r="R101" s="156">
        <v>0</v>
      </c>
      <c r="S101" s="155">
        <v>0</v>
      </c>
      <c r="T101" s="212">
        <v>0</v>
      </c>
    </row>
    <row r="102" spans="1:20" ht="45">
      <c r="A102" s="86">
        <v>78</v>
      </c>
      <c r="B102" s="65" t="s">
        <v>26</v>
      </c>
      <c r="C102" s="320" t="s">
        <v>146</v>
      </c>
      <c r="D102" s="323" t="s">
        <v>60</v>
      </c>
      <c r="E102" s="236">
        <f t="shared" si="25"/>
        <v>23745.8</v>
      </c>
      <c r="F102" s="87">
        <f t="shared" si="28"/>
        <v>23745.8</v>
      </c>
      <c r="G102" s="237">
        <f t="shared" si="27"/>
        <v>1</v>
      </c>
      <c r="H102" s="89">
        <v>16384.6</v>
      </c>
      <c r="I102" s="87">
        <v>16384.6</v>
      </c>
      <c r="J102" s="87">
        <v>16384.6</v>
      </c>
      <c r="K102" s="212">
        <f t="shared" si="29"/>
        <v>1</v>
      </c>
      <c r="L102" s="89">
        <v>7361.2</v>
      </c>
      <c r="M102" s="87">
        <v>7361.2</v>
      </c>
      <c r="N102" s="212">
        <f t="shared" si="26"/>
        <v>1</v>
      </c>
      <c r="O102" s="88">
        <v>0</v>
      </c>
      <c r="P102" s="155">
        <v>0</v>
      </c>
      <c r="Q102" s="335">
        <v>0</v>
      </c>
      <c r="R102" s="156">
        <v>0</v>
      </c>
      <c r="S102" s="155">
        <v>0</v>
      </c>
      <c r="T102" s="212">
        <v>0</v>
      </c>
    </row>
    <row r="103" spans="1:20" ht="30">
      <c r="A103" s="86">
        <v>79</v>
      </c>
      <c r="B103" s="65" t="s">
        <v>26</v>
      </c>
      <c r="C103" s="320" t="s">
        <v>146</v>
      </c>
      <c r="D103" s="323" t="s">
        <v>205</v>
      </c>
      <c r="E103" s="236">
        <f t="shared" si="25"/>
        <v>1047.5</v>
      </c>
      <c r="F103" s="87">
        <f t="shared" si="28"/>
        <v>1047.5</v>
      </c>
      <c r="G103" s="237">
        <f t="shared" si="27"/>
        <v>1</v>
      </c>
      <c r="H103" s="89">
        <v>722.8</v>
      </c>
      <c r="I103" s="87">
        <v>722.8</v>
      </c>
      <c r="J103" s="87">
        <v>722.8</v>
      </c>
      <c r="K103" s="212">
        <f t="shared" si="29"/>
        <v>1</v>
      </c>
      <c r="L103" s="89">
        <v>324.7</v>
      </c>
      <c r="M103" s="87">
        <v>324.7</v>
      </c>
      <c r="N103" s="212">
        <f t="shared" si="26"/>
        <v>1</v>
      </c>
      <c r="O103" s="88">
        <v>0</v>
      </c>
      <c r="P103" s="155">
        <v>0</v>
      </c>
      <c r="Q103" s="335">
        <v>0</v>
      </c>
      <c r="R103" s="156">
        <v>0</v>
      </c>
      <c r="S103" s="155">
        <v>0</v>
      </c>
      <c r="T103" s="212">
        <v>0</v>
      </c>
    </row>
    <row r="104" spans="1:20" ht="45">
      <c r="A104" s="86">
        <v>80</v>
      </c>
      <c r="B104" s="65" t="s">
        <v>26</v>
      </c>
      <c r="C104" s="320" t="s">
        <v>148</v>
      </c>
      <c r="D104" s="259" t="s">
        <v>149</v>
      </c>
      <c r="E104" s="236">
        <f t="shared" si="25"/>
        <v>40878.399999999994</v>
      </c>
      <c r="F104" s="87">
        <f>J104+M104+P104+S104</f>
        <v>40878.399999999994</v>
      </c>
      <c r="G104" s="237">
        <f t="shared" si="27"/>
        <v>1</v>
      </c>
      <c r="H104" s="89">
        <v>28206.1</v>
      </c>
      <c r="I104" s="87">
        <v>28206.1</v>
      </c>
      <c r="J104" s="87">
        <v>28206.1</v>
      </c>
      <c r="K104" s="212">
        <f t="shared" si="29"/>
        <v>1</v>
      </c>
      <c r="L104" s="89">
        <v>12672.3</v>
      </c>
      <c r="M104" s="87">
        <v>12672.3</v>
      </c>
      <c r="N104" s="212">
        <f t="shared" si="26"/>
        <v>1</v>
      </c>
      <c r="O104" s="88">
        <v>0</v>
      </c>
      <c r="P104" s="155">
        <v>0</v>
      </c>
      <c r="Q104" s="335">
        <v>0</v>
      </c>
      <c r="R104" s="156">
        <v>0</v>
      </c>
      <c r="S104" s="155">
        <v>0</v>
      </c>
      <c r="T104" s="212">
        <v>0</v>
      </c>
    </row>
    <row r="105" spans="1:20" ht="60" customHeight="1">
      <c r="A105" s="86">
        <v>81</v>
      </c>
      <c r="B105" s="65" t="s">
        <v>26</v>
      </c>
      <c r="C105" s="320" t="s">
        <v>148</v>
      </c>
      <c r="D105" s="259" t="s">
        <v>150</v>
      </c>
      <c r="E105" s="236">
        <f t="shared" si="25"/>
        <v>2584.4</v>
      </c>
      <c r="F105" s="87">
        <f>J105+M105+P105+S105</f>
        <v>2584.4</v>
      </c>
      <c r="G105" s="237">
        <f t="shared" si="27"/>
        <v>1</v>
      </c>
      <c r="H105" s="89">
        <v>1783.2</v>
      </c>
      <c r="I105" s="87">
        <v>1783.2</v>
      </c>
      <c r="J105" s="87">
        <v>1783.2</v>
      </c>
      <c r="K105" s="212">
        <f t="shared" si="29"/>
        <v>1</v>
      </c>
      <c r="L105" s="89">
        <v>801.2</v>
      </c>
      <c r="M105" s="87">
        <v>801.2</v>
      </c>
      <c r="N105" s="212">
        <f t="shared" si="26"/>
        <v>1</v>
      </c>
      <c r="O105" s="88">
        <v>0</v>
      </c>
      <c r="P105" s="155">
        <v>0</v>
      </c>
      <c r="Q105" s="335">
        <v>0</v>
      </c>
      <c r="R105" s="156">
        <v>0</v>
      </c>
      <c r="S105" s="155">
        <v>0</v>
      </c>
      <c r="T105" s="212">
        <v>0</v>
      </c>
    </row>
    <row r="106" spans="1:20" ht="45">
      <c r="A106" s="86">
        <v>82</v>
      </c>
      <c r="B106" s="65" t="s">
        <v>26</v>
      </c>
      <c r="C106" s="320" t="s">
        <v>148</v>
      </c>
      <c r="D106" s="259" t="s">
        <v>48</v>
      </c>
      <c r="E106" s="236">
        <f t="shared" si="25"/>
        <v>73701.79999999999</v>
      </c>
      <c r="F106" s="87">
        <f>J106+M106+P106+S106</f>
        <v>73701.79999999999</v>
      </c>
      <c r="G106" s="237">
        <f t="shared" si="27"/>
        <v>1</v>
      </c>
      <c r="H106" s="89">
        <v>50854.2</v>
      </c>
      <c r="I106" s="87">
        <v>50854.2</v>
      </c>
      <c r="J106" s="87">
        <v>50854.2</v>
      </c>
      <c r="K106" s="212">
        <f aca="true" t="shared" si="30" ref="K106:K114">J106/I106</f>
        <v>1</v>
      </c>
      <c r="L106" s="89">
        <v>22847.6</v>
      </c>
      <c r="M106" s="87">
        <v>22847.6</v>
      </c>
      <c r="N106" s="212">
        <f t="shared" si="26"/>
        <v>1</v>
      </c>
      <c r="O106" s="88">
        <v>0</v>
      </c>
      <c r="P106" s="155">
        <v>0</v>
      </c>
      <c r="Q106" s="335">
        <v>0</v>
      </c>
      <c r="R106" s="156">
        <v>0</v>
      </c>
      <c r="S106" s="155">
        <v>0</v>
      </c>
      <c r="T106" s="212">
        <v>0</v>
      </c>
    </row>
    <row r="107" spans="1:20" ht="75">
      <c r="A107" s="86">
        <v>83</v>
      </c>
      <c r="B107" s="65" t="s">
        <v>26</v>
      </c>
      <c r="C107" s="320" t="s">
        <v>148</v>
      </c>
      <c r="D107" s="323" t="s">
        <v>51</v>
      </c>
      <c r="E107" s="236">
        <f t="shared" si="25"/>
        <v>16908.6</v>
      </c>
      <c r="F107" s="87">
        <f aca="true" t="shared" si="31" ref="F107:F114">J107+M107+P107+S107</f>
        <v>10144.9</v>
      </c>
      <c r="G107" s="237">
        <f t="shared" si="27"/>
        <v>0.5999846232094911</v>
      </c>
      <c r="H107" s="89">
        <v>7000</v>
      </c>
      <c r="I107" s="87">
        <v>7000</v>
      </c>
      <c r="J107" s="87">
        <v>7000</v>
      </c>
      <c r="K107" s="212">
        <f t="shared" si="30"/>
        <v>1</v>
      </c>
      <c r="L107" s="89">
        <v>3144.9</v>
      </c>
      <c r="M107" s="87">
        <v>3144.9</v>
      </c>
      <c r="N107" s="212">
        <f t="shared" si="26"/>
        <v>1</v>
      </c>
      <c r="O107" s="88">
        <v>0</v>
      </c>
      <c r="P107" s="155">
        <v>0</v>
      </c>
      <c r="Q107" s="335">
        <v>0</v>
      </c>
      <c r="R107" s="156">
        <v>6763.7</v>
      </c>
      <c r="S107" s="155">
        <v>0</v>
      </c>
      <c r="T107" s="212">
        <v>0</v>
      </c>
    </row>
    <row r="108" spans="1:20" ht="30">
      <c r="A108" s="86">
        <v>84</v>
      </c>
      <c r="B108" s="65" t="s">
        <v>26</v>
      </c>
      <c r="C108" s="320" t="s">
        <v>148</v>
      </c>
      <c r="D108" s="323" t="s">
        <v>52</v>
      </c>
      <c r="E108" s="236">
        <f t="shared" si="25"/>
        <v>9469.1</v>
      </c>
      <c r="F108" s="87">
        <f t="shared" si="31"/>
        <v>8517.5</v>
      </c>
      <c r="G108" s="237">
        <f t="shared" si="27"/>
        <v>0.8995047047765891</v>
      </c>
      <c r="H108" s="89">
        <v>5877.1</v>
      </c>
      <c r="I108" s="87">
        <v>5877.1</v>
      </c>
      <c r="J108" s="87">
        <v>5877.1</v>
      </c>
      <c r="K108" s="212">
        <f t="shared" si="30"/>
        <v>1</v>
      </c>
      <c r="L108" s="89">
        <v>2640.4</v>
      </c>
      <c r="M108" s="87">
        <v>2640.4</v>
      </c>
      <c r="N108" s="212">
        <f>M108/L108</f>
        <v>1</v>
      </c>
      <c r="O108" s="88">
        <v>0</v>
      </c>
      <c r="P108" s="155">
        <v>0</v>
      </c>
      <c r="Q108" s="335">
        <v>0</v>
      </c>
      <c r="R108" s="156">
        <v>951.6</v>
      </c>
      <c r="S108" s="155">
        <v>0</v>
      </c>
      <c r="T108" s="212">
        <v>0</v>
      </c>
    </row>
    <row r="109" spans="1:20" ht="30">
      <c r="A109" s="86">
        <v>85</v>
      </c>
      <c r="B109" s="65" t="s">
        <v>26</v>
      </c>
      <c r="C109" s="320" t="s">
        <v>148</v>
      </c>
      <c r="D109" s="323" t="s">
        <v>53</v>
      </c>
      <c r="E109" s="84">
        <f t="shared" si="25"/>
        <v>97022.16</v>
      </c>
      <c r="F109" s="61">
        <f t="shared" si="31"/>
        <v>55065.8</v>
      </c>
      <c r="G109" s="234">
        <f t="shared" si="27"/>
        <v>0.5675589988926242</v>
      </c>
      <c r="H109" s="89">
        <v>37995.4</v>
      </c>
      <c r="I109" s="87">
        <v>37995.4</v>
      </c>
      <c r="J109" s="87">
        <v>37995.4</v>
      </c>
      <c r="K109" s="212">
        <f t="shared" si="30"/>
        <v>1</v>
      </c>
      <c r="L109" s="89">
        <v>17070.4</v>
      </c>
      <c r="M109" s="87">
        <v>17070.4</v>
      </c>
      <c r="N109" s="212">
        <f>M109/L109</f>
        <v>1</v>
      </c>
      <c r="O109" s="88">
        <v>0</v>
      </c>
      <c r="P109" s="155">
        <v>0</v>
      </c>
      <c r="Q109" s="335">
        <v>0</v>
      </c>
      <c r="R109" s="156">
        <v>41956.36</v>
      </c>
      <c r="S109" s="186">
        <v>0</v>
      </c>
      <c r="T109" s="211">
        <v>0</v>
      </c>
    </row>
    <row r="110" spans="1:20" ht="75">
      <c r="A110" s="86">
        <v>86</v>
      </c>
      <c r="B110" s="65" t="s">
        <v>26</v>
      </c>
      <c r="C110" s="320" t="s">
        <v>148</v>
      </c>
      <c r="D110" s="323" t="s">
        <v>54</v>
      </c>
      <c r="E110" s="236">
        <f t="shared" si="25"/>
        <v>163.70000000000002</v>
      </c>
      <c r="F110" s="87">
        <f t="shared" si="31"/>
        <v>41.9</v>
      </c>
      <c r="G110" s="237">
        <f t="shared" si="27"/>
        <v>0.25595601710445937</v>
      </c>
      <c r="H110" s="89">
        <v>300</v>
      </c>
      <c r="I110" s="87">
        <v>28.9</v>
      </c>
      <c r="J110" s="87">
        <v>28.9</v>
      </c>
      <c r="K110" s="212">
        <f t="shared" si="30"/>
        <v>1</v>
      </c>
      <c r="L110" s="89">
        <v>134.8</v>
      </c>
      <c r="M110" s="87">
        <v>13</v>
      </c>
      <c r="N110" s="212">
        <f t="shared" si="26"/>
        <v>0.09643916913946586</v>
      </c>
      <c r="O110" s="88">
        <v>0</v>
      </c>
      <c r="P110" s="155">
        <v>0</v>
      </c>
      <c r="Q110" s="335">
        <v>0</v>
      </c>
      <c r="R110" s="156">
        <v>0</v>
      </c>
      <c r="S110" s="155">
        <v>0</v>
      </c>
      <c r="T110" s="212">
        <v>0</v>
      </c>
    </row>
    <row r="111" spans="1:20" ht="75">
      <c r="A111" s="86">
        <v>87</v>
      </c>
      <c r="B111" s="65" t="s">
        <v>26</v>
      </c>
      <c r="C111" s="320" t="s">
        <v>68</v>
      </c>
      <c r="D111" s="323" t="s">
        <v>69</v>
      </c>
      <c r="E111" s="236">
        <f t="shared" si="25"/>
        <v>339298.9</v>
      </c>
      <c r="F111" s="87">
        <f t="shared" si="31"/>
        <v>339298.9</v>
      </c>
      <c r="G111" s="237">
        <f t="shared" si="27"/>
        <v>1</v>
      </c>
      <c r="H111" s="89">
        <v>322334</v>
      </c>
      <c r="I111" s="87">
        <v>322334</v>
      </c>
      <c r="J111" s="87">
        <v>322334</v>
      </c>
      <c r="K111" s="212">
        <f t="shared" si="30"/>
        <v>1</v>
      </c>
      <c r="L111" s="89">
        <v>16964.9</v>
      </c>
      <c r="M111" s="87">
        <v>16964.9</v>
      </c>
      <c r="N111" s="212">
        <f t="shared" si="26"/>
        <v>1</v>
      </c>
      <c r="O111" s="88">
        <v>0</v>
      </c>
      <c r="P111" s="155">
        <v>0</v>
      </c>
      <c r="Q111" s="335">
        <v>0</v>
      </c>
      <c r="R111" s="156">
        <v>0</v>
      </c>
      <c r="S111" s="155">
        <v>0</v>
      </c>
      <c r="T111" s="212">
        <v>0</v>
      </c>
    </row>
    <row r="112" spans="1:20" ht="30">
      <c r="A112" s="86">
        <v>88</v>
      </c>
      <c r="B112" s="63" t="s">
        <v>26</v>
      </c>
      <c r="C112" s="320" t="s">
        <v>230</v>
      </c>
      <c r="D112" s="323" t="s">
        <v>231</v>
      </c>
      <c r="E112" s="236">
        <f t="shared" si="25"/>
        <v>4123.9</v>
      </c>
      <c r="F112" s="87">
        <f>J112+M112+P112+S112</f>
        <v>4123.9</v>
      </c>
      <c r="G112" s="234">
        <f t="shared" si="27"/>
        <v>1</v>
      </c>
      <c r="H112" s="89">
        <v>3958.9</v>
      </c>
      <c r="I112" s="87">
        <v>3958.9</v>
      </c>
      <c r="J112" s="87">
        <v>3958.9</v>
      </c>
      <c r="K112" s="212">
        <f t="shared" si="30"/>
        <v>1</v>
      </c>
      <c r="L112" s="89">
        <v>165</v>
      </c>
      <c r="M112" s="87">
        <v>165</v>
      </c>
      <c r="N112" s="212">
        <f>M112/L112</f>
        <v>1</v>
      </c>
      <c r="O112" s="88">
        <v>0</v>
      </c>
      <c r="P112" s="155">
        <v>0</v>
      </c>
      <c r="Q112" s="335">
        <v>0</v>
      </c>
      <c r="R112" s="156">
        <v>0</v>
      </c>
      <c r="S112" s="186">
        <v>0</v>
      </c>
      <c r="T112" s="211">
        <v>0</v>
      </c>
    </row>
    <row r="113" spans="1:20" s="35" customFormat="1" ht="45.75" thickBot="1">
      <c r="A113" s="86">
        <v>89</v>
      </c>
      <c r="B113" s="190" t="s">
        <v>26</v>
      </c>
      <c r="C113" s="324" t="s">
        <v>151</v>
      </c>
      <c r="D113" s="325" t="s">
        <v>152</v>
      </c>
      <c r="E113" s="256">
        <f t="shared" si="25"/>
        <v>55605.799999999996</v>
      </c>
      <c r="F113" s="290">
        <f t="shared" si="31"/>
        <v>50489.2</v>
      </c>
      <c r="G113" s="257">
        <f t="shared" si="27"/>
        <v>0.9079844188915545</v>
      </c>
      <c r="H113" s="89">
        <v>48469.6</v>
      </c>
      <c r="I113" s="87">
        <v>48469.6</v>
      </c>
      <c r="J113" s="87">
        <v>48469.6</v>
      </c>
      <c r="K113" s="212">
        <f t="shared" si="30"/>
        <v>1</v>
      </c>
      <c r="L113" s="89">
        <v>2019.6</v>
      </c>
      <c r="M113" s="87">
        <v>2019.6</v>
      </c>
      <c r="N113" s="212">
        <f>M113/L113</f>
        <v>1</v>
      </c>
      <c r="O113" s="88">
        <v>0</v>
      </c>
      <c r="P113" s="155">
        <v>0</v>
      </c>
      <c r="Q113" s="335">
        <v>0</v>
      </c>
      <c r="R113" s="156">
        <v>5116.6</v>
      </c>
      <c r="S113" s="187">
        <v>0</v>
      </c>
      <c r="T113" s="191">
        <v>0</v>
      </c>
    </row>
    <row r="114" spans="1:20" s="35" customFormat="1" ht="75.75" thickBot="1">
      <c r="A114" s="86">
        <v>90</v>
      </c>
      <c r="B114" s="51" t="s">
        <v>26</v>
      </c>
      <c r="C114" s="326" t="s">
        <v>260</v>
      </c>
      <c r="D114" s="327" t="s">
        <v>261</v>
      </c>
      <c r="E114" s="246">
        <f>SUM(I114+L114+O114+R114)</f>
        <v>692074</v>
      </c>
      <c r="F114" s="95">
        <f t="shared" si="31"/>
        <v>692074</v>
      </c>
      <c r="G114" s="247">
        <f t="shared" si="27"/>
        <v>1</v>
      </c>
      <c r="H114" s="89">
        <v>564245.7</v>
      </c>
      <c r="I114" s="87">
        <v>564245.7</v>
      </c>
      <c r="J114" s="87">
        <v>564245.7</v>
      </c>
      <c r="K114" s="212">
        <f t="shared" si="30"/>
        <v>1</v>
      </c>
      <c r="L114" s="89">
        <v>127828.3</v>
      </c>
      <c r="M114" s="87">
        <v>127828.3</v>
      </c>
      <c r="N114" s="212">
        <f>M114/L114</f>
        <v>1</v>
      </c>
      <c r="O114" s="88">
        <v>0</v>
      </c>
      <c r="P114" s="155">
        <v>0</v>
      </c>
      <c r="Q114" s="335">
        <v>0</v>
      </c>
      <c r="R114" s="218">
        <v>0</v>
      </c>
      <c r="S114" s="186">
        <v>0</v>
      </c>
      <c r="T114" s="191">
        <v>0</v>
      </c>
    </row>
    <row r="115" spans="1:20" s="35" customFormat="1" ht="57">
      <c r="A115" s="98"/>
      <c r="B115" s="188"/>
      <c r="C115" s="189">
        <v>48</v>
      </c>
      <c r="D115" s="283" t="s">
        <v>153</v>
      </c>
      <c r="E115" s="265"/>
      <c r="F115" s="101"/>
      <c r="G115" s="267"/>
      <c r="H115" s="104"/>
      <c r="I115" s="101"/>
      <c r="J115" s="101"/>
      <c r="K115" s="195"/>
      <c r="L115" s="104"/>
      <c r="M115" s="101"/>
      <c r="N115" s="103"/>
      <c r="O115" s="102"/>
      <c r="P115" s="101"/>
      <c r="Q115" s="103"/>
      <c r="R115" s="163"/>
      <c r="S115" s="161"/>
      <c r="T115" s="162"/>
    </row>
    <row r="116" spans="1:20" s="35" customFormat="1" ht="45">
      <c r="A116" s="82">
        <v>91</v>
      </c>
      <c r="B116" s="66" t="s">
        <v>154</v>
      </c>
      <c r="C116" s="321" t="s">
        <v>155</v>
      </c>
      <c r="D116" s="323" t="s">
        <v>156</v>
      </c>
      <c r="E116" s="236">
        <f t="shared" si="25"/>
        <v>2462.2087</v>
      </c>
      <c r="F116" s="87">
        <f>J116+M116+P116+S116</f>
        <v>0</v>
      </c>
      <c r="G116" s="237">
        <f t="shared" si="27"/>
        <v>0</v>
      </c>
      <c r="H116" s="89">
        <v>0</v>
      </c>
      <c r="I116" s="87">
        <v>0</v>
      </c>
      <c r="J116" s="87">
        <v>0</v>
      </c>
      <c r="K116" s="212">
        <v>0</v>
      </c>
      <c r="L116" s="89">
        <v>2462.2087</v>
      </c>
      <c r="M116" s="87">
        <v>0</v>
      </c>
      <c r="N116" s="212">
        <f t="shared" si="26"/>
        <v>0</v>
      </c>
      <c r="O116" s="88">
        <v>0</v>
      </c>
      <c r="P116" s="155">
        <v>0</v>
      </c>
      <c r="Q116" s="335">
        <v>0</v>
      </c>
      <c r="R116" s="156">
        <v>0</v>
      </c>
      <c r="S116" s="155">
        <v>0</v>
      </c>
      <c r="T116" s="212">
        <v>0</v>
      </c>
    </row>
    <row r="117" spans="1:20" s="35" customFormat="1" ht="45">
      <c r="A117" s="86">
        <v>92</v>
      </c>
      <c r="B117" s="65" t="s">
        <v>143</v>
      </c>
      <c r="C117" s="320" t="s">
        <v>157</v>
      </c>
      <c r="D117" s="322" t="s">
        <v>156</v>
      </c>
      <c r="E117" s="236">
        <f t="shared" si="25"/>
        <v>168167.16916</v>
      </c>
      <c r="F117" s="87">
        <f>J117+M117+P117+S117</f>
        <v>166503.71159</v>
      </c>
      <c r="G117" s="237">
        <f t="shared" si="27"/>
        <v>0.9901083096165023</v>
      </c>
      <c r="H117" s="89">
        <v>79301.7</v>
      </c>
      <c r="I117" s="87">
        <v>79301.53324</v>
      </c>
      <c r="J117" s="87">
        <v>79223.9892</v>
      </c>
      <c r="K117" s="212">
        <f>J117/H117</f>
        <v>0.9990200613606013</v>
      </c>
      <c r="L117" s="89">
        <v>35628.3</v>
      </c>
      <c r="M117" s="87">
        <v>35593.3865</v>
      </c>
      <c r="N117" s="212">
        <f>M117/L117</f>
        <v>0.9990200627029636</v>
      </c>
      <c r="O117" s="88">
        <v>43683.1182</v>
      </c>
      <c r="P117" s="155">
        <v>42326.71378</v>
      </c>
      <c r="Q117" s="335">
        <f>P117/O117</f>
        <v>0.9689490019052716</v>
      </c>
      <c r="R117" s="156">
        <v>9554.21772</v>
      </c>
      <c r="S117" s="155">
        <v>9359.62211</v>
      </c>
      <c r="T117" s="212">
        <f>SUM(S117/R117)</f>
        <v>0.9796324915652016</v>
      </c>
    </row>
    <row r="118" spans="1:20" s="35" customFormat="1" ht="45">
      <c r="A118" s="82">
        <v>93</v>
      </c>
      <c r="B118" s="190" t="s">
        <v>32</v>
      </c>
      <c r="C118" s="324" t="s">
        <v>158</v>
      </c>
      <c r="D118" s="325" t="s">
        <v>156</v>
      </c>
      <c r="E118" s="256">
        <f t="shared" si="25"/>
        <v>42792.24499</v>
      </c>
      <c r="F118" s="290">
        <f>J118+M118+P118+S118</f>
        <v>40966.252</v>
      </c>
      <c r="G118" s="257">
        <f t="shared" si="27"/>
        <v>0.9573288807253111</v>
      </c>
      <c r="H118" s="89">
        <v>16504.3</v>
      </c>
      <c r="I118" s="87">
        <v>16504.29999</v>
      </c>
      <c r="J118" s="87">
        <v>16504.29999</v>
      </c>
      <c r="K118" s="212">
        <f>J118/H118</f>
        <v>0.9999999993940973</v>
      </c>
      <c r="L118" s="89">
        <v>7414.976</v>
      </c>
      <c r="M118" s="87">
        <v>7414.976</v>
      </c>
      <c r="N118" s="212">
        <f>M118/L118</f>
        <v>1</v>
      </c>
      <c r="O118" s="88">
        <v>1839.944</v>
      </c>
      <c r="P118" s="155">
        <v>1839.94501</v>
      </c>
      <c r="Q118" s="335">
        <f>P118/O118</f>
        <v>1.00000054892975</v>
      </c>
      <c r="R118" s="156">
        <v>17033.025</v>
      </c>
      <c r="S118" s="155">
        <v>15207.031</v>
      </c>
      <c r="T118" s="192">
        <f>SUM(S118/R118)</f>
        <v>0.8927968461268624</v>
      </c>
    </row>
    <row r="119" spans="1:20" s="35" customFormat="1" ht="45">
      <c r="A119" s="86">
        <v>94</v>
      </c>
      <c r="B119" s="65" t="s">
        <v>40</v>
      </c>
      <c r="C119" s="68" t="s">
        <v>159</v>
      </c>
      <c r="D119" s="259" t="s">
        <v>156</v>
      </c>
      <c r="E119" s="236">
        <f t="shared" si="25"/>
        <v>204759.10003</v>
      </c>
      <c r="F119" s="87">
        <f>J119+M119+P119+S119</f>
        <v>199852.60229</v>
      </c>
      <c r="G119" s="237">
        <f t="shared" si="27"/>
        <v>0.9760377060688334</v>
      </c>
      <c r="H119" s="89">
        <v>143194.4</v>
      </c>
      <c r="I119" s="87">
        <v>134109.99823</v>
      </c>
      <c r="J119" s="87">
        <v>134109.99823</v>
      </c>
      <c r="K119" s="212">
        <f>J119/H119</f>
        <v>0.9365589592190756</v>
      </c>
      <c r="L119" s="89">
        <v>64333.718</v>
      </c>
      <c r="M119" s="87">
        <v>60252.31979</v>
      </c>
      <c r="N119" s="212">
        <f>M119/L119</f>
        <v>0.9365589563780535</v>
      </c>
      <c r="O119" s="88">
        <v>6223.53683</v>
      </c>
      <c r="P119" s="155">
        <v>5398.4373</v>
      </c>
      <c r="Q119" s="335">
        <f>P119/O119</f>
        <v>0.8674227288215469</v>
      </c>
      <c r="R119" s="156">
        <v>91.84697</v>
      </c>
      <c r="S119" s="155">
        <v>91.84697</v>
      </c>
      <c r="T119" s="212">
        <f>SUM(S119/R119)</f>
        <v>1</v>
      </c>
    </row>
    <row r="120" spans="1:20" s="35" customFormat="1" ht="105.75" thickBot="1">
      <c r="A120" s="82">
        <v>95</v>
      </c>
      <c r="B120" s="148" t="s">
        <v>74</v>
      </c>
      <c r="C120" s="328" t="s">
        <v>162</v>
      </c>
      <c r="D120" s="329" t="s">
        <v>163</v>
      </c>
      <c r="E120" s="330">
        <f>SUM(I120+L120+O120+R120)</f>
        <v>478654.855</v>
      </c>
      <c r="F120" s="149">
        <f>J120+M120+P120+S120</f>
        <v>474769.80500000005</v>
      </c>
      <c r="G120" s="263">
        <f t="shared" si="27"/>
        <v>0.9918833999918377</v>
      </c>
      <c r="H120" s="208">
        <v>219291.081</v>
      </c>
      <c r="I120" s="149">
        <v>215932.646</v>
      </c>
      <c r="J120" s="149">
        <v>215932.646</v>
      </c>
      <c r="K120" s="213">
        <f>J120/I120</f>
        <v>1</v>
      </c>
      <c r="L120" s="208">
        <v>257138.616</v>
      </c>
      <c r="M120" s="149">
        <v>253403.301</v>
      </c>
      <c r="N120" s="213">
        <f t="shared" si="26"/>
        <v>0.9854735354101773</v>
      </c>
      <c r="O120" s="331">
        <v>5583.593</v>
      </c>
      <c r="P120" s="146">
        <v>5433.858</v>
      </c>
      <c r="Q120" s="337">
        <f>SUM(P120/O120)</f>
        <v>0.9731830382336248</v>
      </c>
      <c r="R120" s="217">
        <v>0</v>
      </c>
      <c r="S120" s="146">
        <v>0</v>
      </c>
      <c r="T120" s="337">
        <v>0</v>
      </c>
    </row>
    <row r="121" spans="1:20" ht="59.25" customHeight="1">
      <c r="A121" s="82"/>
      <c r="B121" s="66"/>
      <c r="C121" s="150">
        <v>28</v>
      </c>
      <c r="D121" s="292" t="s">
        <v>35</v>
      </c>
      <c r="E121" s="72"/>
      <c r="F121" s="48"/>
      <c r="G121" s="240"/>
      <c r="H121" s="90"/>
      <c r="I121" s="48"/>
      <c r="J121" s="48"/>
      <c r="K121" s="183"/>
      <c r="L121" s="90"/>
      <c r="M121" s="48"/>
      <c r="N121" s="183"/>
      <c r="O121" s="49"/>
      <c r="P121" s="48"/>
      <c r="Q121" s="183"/>
      <c r="R121" s="90"/>
      <c r="S121" s="48"/>
      <c r="T121" s="183"/>
    </row>
    <row r="122" spans="1:20" ht="105.75" thickBot="1">
      <c r="A122" s="113">
        <v>96</v>
      </c>
      <c r="B122" s="190" t="s">
        <v>34</v>
      </c>
      <c r="C122" s="295" t="s">
        <v>160</v>
      </c>
      <c r="D122" s="325" t="s">
        <v>256</v>
      </c>
      <c r="E122" s="256">
        <f>SUM(I122+L122+O122+R122)</f>
        <v>157905.189</v>
      </c>
      <c r="F122" s="290">
        <f>SUM(J122+M122+P122+S122)</f>
        <v>157905.19</v>
      </c>
      <c r="G122" s="257">
        <f t="shared" si="27"/>
        <v>1.000000006332914</v>
      </c>
      <c r="H122" s="208">
        <v>130397.8</v>
      </c>
      <c r="I122" s="149">
        <v>130397.8</v>
      </c>
      <c r="J122" s="149">
        <v>130397.8</v>
      </c>
      <c r="K122" s="192">
        <f>J122/I122</f>
        <v>1</v>
      </c>
      <c r="L122" s="208">
        <v>27507.389</v>
      </c>
      <c r="M122" s="149">
        <v>27507.39</v>
      </c>
      <c r="N122" s="192">
        <f>SUM(M122/L122)</f>
        <v>1.0000000363538684</v>
      </c>
      <c r="O122" s="223" t="s">
        <v>211</v>
      </c>
      <c r="P122" s="193" t="s">
        <v>212</v>
      </c>
      <c r="Q122" s="192">
        <v>0</v>
      </c>
      <c r="R122" s="220" t="s">
        <v>211</v>
      </c>
      <c r="S122" s="193" t="s">
        <v>211</v>
      </c>
      <c r="T122" s="192">
        <v>0</v>
      </c>
    </row>
    <row r="123" spans="1:20" ht="59.25" customHeight="1">
      <c r="A123" s="194"/>
      <c r="B123" s="99"/>
      <c r="C123" s="189">
        <v>47</v>
      </c>
      <c r="D123" s="264" t="s">
        <v>71</v>
      </c>
      <c r="E123" s="265"/>
      <c r="F123" s="101"/>
      <c r="G123" s="267"/>
      <c r="H123" s="104"/>
      <c r="I123" s="101"/>
      <c r="J123" s="101"/>
      <c r="K123" s="195"/>
      <c r="L123" s="104"/>
      <c r="M123" s="101"/>
      <c r="N123" s="195"/>
      <c r="O123" s="102"/>
      <c r="P123" s="101"/>
      <c r="Q123" s="195"/>
      <c r="R123" s="104"/>
      <c r="S123" s="101"/>
      <c r="T123" s="195"/>
    </row>
    <row r="124" spans="1:20" ht="195.75" thickBot="1">
      <c r="A124" s="93">
        <v>97</v>
      </c>
      <c r="B124" s="51" t="s">
        <v>40</v>
      </c>
      <c r="C124" s="69" t="s">
        <v>70</v>
      </c>
      <c r="D124" s="327" t="s">
        <v>161</v>
      </c>
      <c r="E124" s="246">
        <f>SUM(I124+L124+O124+R124)</f>
        <v>123304.73</v>
      </c>
      <c r="F124" s="95">
        <f>SUM(J124+M124+P124+S124)</f>
        <v>120451.94920000002</v>
      </c>
      <c r="G124" s="247">
        <f t="shared" si="27"/>
        <v>0.9768639791839293</v>
      </c>
      <c r="H124" s="360">
        <v>80795.4</v>
      </c>
      <c r="I124" s="361">
        <v>80795.4</v>
      </c>
      <c r="J124" s="361">
        <v>78926.11595</v>
      </c>
      <c r="K124" s="191">
        <f>J124/I124</f>
        <v>0.9768639792611957</v>
      </c>
      <c r="L124" s="360">
        <v>36299.382</v>
      </c>
      <c r="M124" s="361">
        <v>35459.55874</v>
      </c>
      <c r="N124" s="191">
        <f>M124/L124</f>
        <v>0.9768639791167796</v>
      </c>
      <c r="O124" s="362">
        <v>6209.948</v>
      </c>
      <c r="P124" s="361">
        <v>6066.27451</v>
      </c>
      <c r="Q124" s="191">
        <f>P124/O124</f>
        <v>0.9768639785711571</v>
      </c>
      <c r="R124" s="219">
        <v>0</v>
      </c>
      <c r="S124" s="187">
        <v>0</v>
      </c>
      <c r="T124" s="191">
        <v>0</v>
      </c>
    </row>
  </sheetData>
  <sheetProtection/>
  <mergeCells count="17">
    <mergeCell ref="A14:A16"/>
    <mergeCell ref="B14:B16"/>
    <mergeCell ref="C14:C16"/>
    <mergeCell ref="R6:T6"/>
    <mergeCell ref="H5:T5"/>
    <mergeCell ref="B1:S1"/>
    <mergeCell ref="L3:N3"/>
    <mergeCell ref="G2:J2"/>
    <mergeCell ref="G3:J3"/>
    <mergeCell ref="L2:N2"/>
    <mergeCell ref="A5:A7"/>
    <mergeCell ref="O6:Q6"/>
    <mergeCell ref="E5:G6"/>
    <mergeCell ref="H6:K6"/>
    <mergeCell ref="L6:N6"/>
    <mergeCell ref="D5:D7"/>
    <mergeCell ref="B5:C6"/>
  </mergeCells>
  <printOptions horizontalCentered="1"/>
  <pageMargins left="0.1968503937007874" right="0" top="0.6692913385826772" bottom="0.3937007874015748" header="0.31496062992125984" footer="0.5118110236220472"/>
  <pageSetup fitToHeight="0" fitToWidth="1" horizontalDpi="600" verticalDpi="600" orientation="landscape" paperSize="9" scale="52" r:id="rId1"/>
  <headerFooter alignWithMargins="0">
    <oddHeader>&amp;C&amp;P</oddHeader>
  </headerFooter>
  <rowBreaks count="2" manualBreakCount="2">
    <brk id="15" max="19" man="1"/>
    <brk id="31" max="19" man="1"/>
  </rowBreaks>
  <ignoredErrors>
    <ignoredError sqref="B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АППП в ЦФО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Анпилогова Ольга Владимировна</dc:creator>
  <cp:keywords/>
  <dc:description/>
  <cp:lastModifiedBy>Луговец Ирина Владимировна</cp:lastModifiedBy>
  <cp:lastPrinted>2020-10-15T08:01:02Z</cp:lastPrinted>
  <dcterms:created xsi:type="dcterms:W3CDTF">2012-12-24T07:36:17Z</dcterms:created>
  <dcterms:modified xsi:type="dcterms:W3CDTF">2021-01-18T12:18:24Z</dcterms:modified>
  <cp:category/>
  <cp:version/>
  <cp:contentType/>
  <cp:contentStatus/>
</cp:coreProperties>
</file>